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Inputs" sheetId="2" state="visible" r:id="rId4"/>
    <sheet name="Calculations" sheetId="3" state="visible" r:id="rId5"/>
    <sheet name="Prices" sheetId="4" state="visible" r:id="rId6"/>
  </sheets>
  <definedNames>
    <definedName function="false" hidden="false" localSheetId="2" name="_xlnm.Print_Area" vbProcedure="false">Calculations!$A$1:$G$61</definedName>
    <definedName function="false" hidden="false" localSheetId="1" name="_xlnm.Print_Area" vbProcedure="false">Inputs!$A$1:$D$51</definedName>
    <definedName function="false" hidden="false" localSheetId="3" name="_xlnm.Print_Area" vbProcedure="false">Prices!$A$1:$F$17</definedName>
    <definedName function="false" hidden="false" localSheetId="0" name="_xlnm.Print_Area" vbProcedure="false">Summary!$A$1:$I$56</definedName>
    <definedName function="false" hidden="false" name="PriceCountries" vbProcedure="false">Prices!$A$6:$A$7</definedName>
    <definedName function="false" hidden="false" name="PriceCur" vbProcedure="false">Prices!$E$6:$E$7</definedName>
    <definedName function="false" hidden="false" name="PricePerp" vbProcedure="false">Prices!$C$6:$C$7</definedName>
    <definedName function="false" hidden="false" name="PriceSA" vbProcedure="false">Prices!$D$6:$D$7</definedName>
    <definedName function="false" hidden="false" name="PriceSub" vbProcedure="false">Prices!$B$6:$B$7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8" authorId="0">
      <text>
        <r>
          <rPr>
            <sz val="10"/>
            <rFont val="Arial"/>
            <family val="2"/>
          </rPr>
          <t xml:space="preserve">Defaults to today. Overwrite with a fixed date if you want the quote date to stay put.</t>
        </r>
      </text>
    </comment>
    <comment ref="B21" authorId="0">
      <text>
        <r>
          <rPr>
            <sz val="10"/>
            <rFont val="Arial"/>
            <family val="2"/>
          </rPr>
          <t xml:space="preserve">Fully loaded hourly cost of the AP staff who prepare payments.</t>
        </r>
      </text>
    </comment>
    <comment ref="B22" authorId="0">
      <text>
        <r>
          <rPr>
            <sz val="10"/>
            <rFont val="Arial"/>
            <family val="2"/>
          </rPr>
          <t xml:space="preserve">Number of vendor payments currently made by check each month.</t>
        </r>
      </text>
    </comment>
    <comment ref="B24" authorId="0">
      <text>
        <r>
          <rPr>
            <sz val="10"/>
            <rFont val="Arial"/>
            <family val="2"/>
          </rPr>
          <t xml:space="preserve">ACH/EFT fees are often lower than check fees. Use the customer's actual bank tariff.</t>
        </r>
      </text>
    </comment>
    <comment ref="B25" authorId="0">
      <text>
        <r>
          <rPr>
            <sz val="10"/>
            <rFont val="Arial"/>
            <family val="2"/>
          </rPr>
          <t xml:space="preserve">Partner implementation, bank enrolment, vendor bank-detail setup and training. Enter the partner quote. Charged in Year 1 for both options.</t>
        </r>
      </text>
    </comment>
    <comment ref="B31" authorId="0">
      <text>
        <r>
          <rPr>
            <sz val="10"/>
            <rFont val="Arial"/>
            <family val="2"/>
          </rPr>
          <t xml:space="preserve">Security check stock and MICR toner cost more than plain paper. Enter if known.</t>
        </r>
      </text>
    </comment>
    <comment ref="B32" authorId="0">
      <text>
        <r>
          <rPr>
            <sz val="10"/>
            <rFont val="Arial"/>
            <family val="2"/>
          </rPr>
          <t xml:space="preserve">Positive pay, stop payments, reconciling and chasing uncashed checks, averaged per check. Enter if known.</t>
        </r>
      </text>
    </comment>
    <comment ref="B41" authorId="0">
      <text>
        <r>
          <rPr>
            <sz val="10"/>
            <rFont val="Arial"/>
            <family val="2"/>
          </rPr>
          <t xml:space="preserve">Per-payment share of creating the EFT batch, approval, uploading the bank file and emailing the remittance advice.</t>
        </r>
      </text>
    </comment>
    <comment ref="B45" authorId="0">
      <text>
        <r>
          <rPr>
            <sz val="10"/>
            <rFont val="Arial"/>
            <family val="2"/>
          </rPr>
          <t xml:space="preserve">Vendor uptake often builds over several months. Lower Year 1 for a more conservative case.</t>
        </r>
      </text>
    </comment>
    <comment ref="B50" authorId="0">
      <text>
        <r>
          <rPr>
            <sz val="10"/>
            <rFont val="Arial"/>
            <family val="2"/>
          </rPr>
          <t xml:space="preserve">Annual wage inflation. 0% keeps costs flat.</t>
        </r>
      </text>
    </comment>
    <comment ref="B51" authorId="0">
      <text>
        <r>
          <rPr>
            <sz val="10"/>
            <rFont val="Arial"/>
            <family val="2"/>
          </rPr>
          <t xml:space="preserve">Applies to subscription and Software Assurance from Year 2.</t>
        </r>
      </text>
    </comment>
  </commentList>
</comments>
</file>

<file path=xl/sharedStrings.xml><?xml version="1.0" encoding="utf-8"?>
<sst xmlns="http://schemas.openxmlformats.org/spreadsheetml/2006/main" count="198" uniqueCount="171">
  <si>
    <t xml:space="preserve">Orchid EFT Processing for Sage 300</t>
  </si>
  <si>
    <t xml:space="preserve">Return on investment estimate</t>
  </si>
  <si>
    <t xml:space="preserve">Prepared for</t>
  </si>
  <si>
    <t xml:space="preserve">Prepared by</t>
  </si>
  <si>
    <t xml:space="preserve">Country</t>
  </si>
  <si>
    <t xml:space="preserve">Date</t>
  </si>
  <si>
    <t xml:space="preserve">Go to Inputs tab ›</t>
  </si>
  <si>
    <t xml:space="preserve">How to update this estimate
1.  Open the Inputs tab (use the link above).
2.  Change the yellow cells: customer details, country, staff cost, payments per month, bank fees and minutes per payment.
3.  Come back to this page. Every figure and the chart update automatically.</t>
  </si>
  <si>
    <t xml:space="preserve">5-year net saving</t>
  </si>
  <si>
    <t xml:space="preserve">Payback, perpetual licence</t>
  </si>
  <si>
    <t xml:space="preserve">Saving per payment</t>
  </si>
  <si>
    <t xml:space="preserve">Staff hours freed</t>
  </si>
  <si>
    <t xml:space="preserve">Recommendation</t>
  </si>
  <si>
    <t xml:space="preserve">Note: access to Sage 300 web screens is included only with a subscription licence.</t>
  </si>
  <si>
    <t xml:space="preserve">Five-year comparison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</si>
  <si>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</si>
  <si>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</si>
  <si>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</si>
  <si>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</si>
  <si>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</si>
  <si>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Total</t>
  </si>
  <si>
    <t xml:space="preserve">Cost today with manual checks</t>
  </si>
  <si>
    <t xml:space="preserve">Gross saving with Orchid EFT</t>
  </si>
  <si>
    <t xml:space="preserve">   cash saving</t>
  </si>
  <si>
    <t xml:space="preserve">   staff-time saving</t>
  </si>
  <si>
    <t xml:space="preserve">Net saving: perpetual licence</t>
  </si>
  <si>
    <t xml:space="preserve">Net saving: annual subscription</t>
  </si>
  <si>
    <t xml:space="preserve">Cumulative net saving: perpetual</t>
  </si>
  <si>
    <t xml:space="preserve">Cumulative net saving: subscription</t>
  </si>
  <si>
    <t xml:space="preserve">Year labels</t>
  </si>
  <si>
    <t xml:space="preserve">Where the saving comes from (Year 1)</t>
  </si>
  <si>
    <t xml:space="preserve">Cash saving per year</t>
  </si>
  <si>
    <t xml:space="preserve">Postage, stationery, printing and bank fees no longer paid.</t>
  </si>
  <si>
    <t xml:space="preserve">Staff-time saving per year</t>
  </si>
  <si>
    <t xml:space="preserve">Break-even payments/month (subscription)</t>
  </si>
  <si>
    <t xml:space="preserve">Staff time as share of saving</t>
  </si>
  <si>
    <t xml:space="preserve">Time savings count as cash only if staff hours are redeployed or avoided.</t>
  </si>
  <si>
    <t xml:space="preserve">Benefits not counted above</t>
  </si>
  <si>
    <t xml:space="preserve">•  Lower fraud risk: no check stock to steal, alter or wash.</t>
  </si>
  <si>
    <t xml:space="preserve">•  Faster, predictable vendor payments, which can support early-payment discounts.</t>
  </si>
  <si>
    <t xml:space="preserve">•  Remittance advice emailed automatically, so fewer "has it been paid?" calls.</t>
  </si>
  <si>
    <t xml:space="preserve">•  Less paper, postage and physical handling for remote or hybrid AP teams.</t>
  </si>
  <si>
    <t xml:space="preserve">This is an indicative estimate only. Review and verify the inputs. Results exclude taxes and use the growth rates set on the Inputs tab.</t>
  </si>
  <si>
    <t xml:space="preserve">Inputs</t>
  </si>
  <si>
    <t xml:space="preserve">Change the yellow cells only. Every other cell is calculated.</t>
  </si>
  <si>
    <t xml:space="preserve">Legend:</t>
  </si>
  <si>
    <t xml:space="preserve">Input</t>
  </si>
  <si>
    <t xml:space="preserve">Example values are shown. Replace them with the customer's figures.</t>
  </si>
  <si>
    <t xml:space="preserve">Customer details</t>
  </si>
  <si>
    <t xml:space="preserve">Customer name</t>
  </si>
  <si>
    <t xml:space="preserve">Example Co.</t>
  </si>
  <si>
    <t xml:space="preserve">Orchid Systems</t>
  </si>
  <si>
    <t xml:space="preserve">Country and pricing</t>
  </si>
  <si>
    <t xml:space="preserve">USA</t>
  </si>
  <si>
    <t xml:space="preserve">Pricing applied (from Prices tab)</t>
  </si>
  <si>
    <t xml:space="preserve">Currency</t>
  </si>
  <si>
    <t xml:space="preserve">Annual subscription</t>
  </si>
  <si>
    <t xml:space="preserve">Perpetual licence</t>
  </si>
  <si>
    <t xml:space="preserve">Software Assurance, % of licence per year</t>
  </si>
  <si>
    <t xml:space="preserve">Software Assurance per year</t>
  </si>
  <si>
    <t xml:space="preserve">Software Assurance in Year 1</t>
  </si>
  <si>
    <t xml:space="preserve">Required</t>
  </si>
  <si>
    <t xml:space="preserve">Software Assurance is charged from Year 1 with a perpetual licence.</t>
  </si>
  <si>
    <t xml:space="preserve">Your business</t>
  </si>
  <si>
    <t xml:space="preserve">Staff cost per hour (incl. on-costs)</t>
  </si>
  <si>
    <t xml:space="preserve">Vendor payments per month</t>
  </si>
  <si>
    <t xml:space="preserve">Bank fee per check</t>
  </si>
  <si>
    <t xml:space="preserve">Bank fee per EFT payment</t>
  </si>
  <si>
    <t xml:space="preserve">One-off implementation &amp; setup cost</t>
  </si>
  <si>
    <t xml:space="preserve">Manual check: cost per check</t>
  </si>
  <si>
    <t xml:space="preserve">Postage</t>
  </si>
  <si>
    <t xml:space="preserve">From Prices tab (USPS Forever stamp).</t>
  </si>
  <si>
    <t xml:space="preserve">Envelope &amp; paper</t>
  </si>
  <si>
    <t xml:space="preserve">From Prices tab stationery reference.</t>
  </si>
  <si>
    <t xml:space="preserve">Printing (toner, wear)</t>
  </si>
  <si>
    <t xml:space="preserve">Check stock &amp; MICR toner</t>
  </si>
  <si>
    <t xml:space="preserve">Other per-check costs</t>
  </si>
  <si>
    <t xml:space="preserve">Cash cost per check</t>
  </si>
  <si>
    <t xml:space="preserve">Staff time, minutes per payment</t>
  </si>
  <si>
    <t xml:space="preserve">Check: prepare &amp; sign</t>
  </si>
  <si>
    <t xml:space="preserve">Check: print remittance advice</t>
  </si>
  <si>
    <t xml:space="preserve">Check: handle, mail &amp; file</t>
  </si>
  <si>
    <t xml:space="preserve">Check: total minutes</t>
  </si>
  <si>
    <t xml:space="preserve">EFT: process payment &amp; email advice</t>
  </si>
  <si>
    <t xml:space="preserve">Adoption and growth</t>
  </si>
  <si>
    <t xml:space="preserve">Share of check payments moved to EFT</t>
  </si>
  <si>
    <t xml:space="preserve">   Year 1</t>
  </si>
  <si>
    <t xml:space="preserve">   Year 2</t>
  </si>
  <si>
    <t xml:space="preserve">   Year 3</t>
  </si>
  <si>
    <t xml:space="preserve">   Year 4</t>
  </si>
  <si>
    <t xml:space="preserve">   Year 5</t>
  </si>
  <si>
    <t xml:space="preserve">Staff cost growth per year</t>
  </si>
  <si>
    <t xml:space="preserve">Software price increase per year</t>
  </si>
  <si>
    <t xml:space="preserve">Calculations</t>
  </si>
  <si>
    <t xml:space="preserve">Cost per payment (Year 1 rates)</t>
  </si>
  <si>
    <t xml:space="preserve">Manual check</t>
  </si>
  <si>
    <t xml:space="preserve">Orchid EFT</t>
  </si>
  <si>
    <t xml:space="preserve">Saving</t>
  </si>
  <si>
    <t xml:space="preserve">Cash cost</t>
  </si>
  <si>
    <t xml:space="preserve">Staff time (minutes)</t>
  </si>
  <si>
    <t xml:space="preserve">Staff time cost</t>
  </si>
  <si>
    <t xml:space="preserve">Total cost per payment</t>
  </si>
  <si>
    <t xml:space="preserve">Share of saving that is staff time</t>
  </si>
  <si>
    <t xml:space="preserve">Five-year view</t>
  </si>
  <si>
    <t xml:space="preserve">Year number</t>
  </si>
  <si>
    <t xml:space="preserve">Payments per year</t>
  </si>
  <si>
    <t xml:space="preserve">Share moved to EFT</t>
  </si>
  <si>
    <t xml:space="preserve">Payments by EFT</t>
  </si>
  <si>
    <t xml:space="preserve">Staff cost per hour</t>
  </si>
  <si>
    <t xml:space="preserve">Cost with manual checks only</t>
  </si>
  <si>
    <t xml:space="preserve">Cost with Orchid EFT (operations)</t>
  </si>
  <si>
    <t xml:space="preserve">Gross operational saving</t>
  </si>
  <si>
    <t xml:space="preserve">   of which cash saving</t>
  </si>
  <si>
    <t xml:space="preserve">   of which staff-time saving</t>
  </si>
  <si>
    <t xml:space="preserve">Option 1: Perpetual licence</t>
  </si>
  <si>
    <t xml:space="preserve">Licence</t>
  </si>
  <si>
    <t xml:space="preserve">Software Assurance</t>
  </si>
  <si>
    <t xml:space="preserve">Implementation &amp; setup</t>
  </si>
  <si>
    <t xml:space="preserve">Total software cost</t>
  </si>
  <si>
    <t xml:space="preserve">Net saving</t>
  </si>
  <si>
    <t xml:space="preserve">Cumulative net saving</t>
  </si>
  <si>
    <t xml:space="preserve">Paid back by end of year? (1 = yes)</t>
  </si>
  <si>
    <t xml:space="preserve">Option 2: Annual subscription</t>
  </si>
  <si>
    <t xml:space="preserve">Subscription</t>
  </si>
  <si>
    <t xml:space="preserve">Comparison</t>
  </si>
  <si>
    <t xml:space="preserve">Cumulative software cost: perpetual</t>
  </si>
  <si>
    <t xml:space="preserve">Cumulative software cost: subscription</t>
  </si>
  <si>
    <t xml:space="preserve">Perpetual cheaper by this year? (1 = yes)</t>
  </si>
  <si>
    <t xml:space="preserve">Key results</t>
  </si>
  <si>
    <t xml:space="preserve">5-year net saving: perpetual licence</t>
  </si>
  <si>
    <t xml:space="preserve">5-year net saving: annual subscription</t>
  </si>
  <si>
    <t xml:space="preserve">Better option over 5 years</t>
  </si>
  <si>
    <t xml:space="preserve">Year perpetual becomes cheaper than subscription</t>
  </si>
  <si>
    <t xml:space="preserve">Year 1 monthly gross saving</t>
  </si>
  <si>
    <t xml:space="preserve">Payback, perpetual licence (months)</t>
  </si>
  <si>
    <t xml:space="preserve">Payback, subscription (months)</t>
  </si>
  <si>
    <t xml:space="preserve">Subscription has no upfront licence, so payback only covers any setup cost.</t>
  </si>
  <si>
    <t xml:space="preserve">Subscription: Year 1 monthly net benefit</t>
  </si>
  <si>
    <t xml:space="preserve">5-year ROI: perpetual (net saving ÷ software cost)</t>
  </si>
  <si>
    <t xml:space="preserve">5-year ROI: subscription (net saving ÷ software cost)</t>
  </si>
  <si>
    <t xml:space="preserve">Staff hours freed per year (Year 1)</t>
  </si>
  <si>
    <t xml:space="preserve">Break-even payments/month, subscription (cash + time)</t>
  </si>
  <si>
    <t xml:space="preserve">Below these volumes the option costs more than it saves.</t>
  </si>
  <si>
    <t xml:space="preserve">Break-even payments/month, subscription (cash only)</t>
  </si>
  <si>
    <t xml:space="preserve">Break-even payments/month, perpetual over 5 yrs (cash + time)</t>
  </si>
  <si>
    <t xml:space="preserve">Orchid EFT Processing for Sage 300: price and cost reference</t>
  </si>
  <si>
    <t xml:space="preserve">Maintained by Orchid. Partners and customers normally do not need to change this tab.</t>
  </si>
  <si>
    <t xml:space="preserve">Software prices by country</t>
  </si>
  <si>
    <t xml:space="preserve">Software Assurance (% of licence p.a.)</t>
  </si>
  <si>
    <t xml:space="preserve">Notes</t>
  </si>
  <si>
    <t xml:space="preserve">USD</t>
  </si>
  <si>
    <t xml:space="preserve">US list price (Oct 2026).</t>
  </si>
  <si>
    <t xml:space="preserve">Canada</t>
  </si>
  <si>
    <t xml:space="preserve">CAD</t>
  </si>
  <si>
    <t xml:space="preserve">Canadian list price (CAD).</t>
  </si>
  <si>
    <t xml:space="preserve">Any other country uses the USA row (US pricing, USD).</t>
  </si>
  <si>
    <t xml:space="preserve">Stationery reference (used for per-check costs on Inputs)</t>
  </si>
  <si>
    <t xml:space="preserve">Item</t>
  </si>
  <si>
    <t xml:space="preserve">Pack quantity</t>
  </si>
  <si>
    <t xml:space="preserve">Pack price</t>
  </si>
  <si>
    <t xml:space="preserve">Cost each</t>
  </si>
  <si>
    <t xml:space="preserve">Last checked</t>
  </si>
  <si>
    <t xml:space="preserve">Source</t>
  </si>
  <si>
    <t xml:space="preserve">Envelopes</t>
  </si>
  <si>
    <t xml:space="preserve">Oct 2026</t>
  </si>
  <si>
    <t xml:space="preserve">Supplier pack price. Update when prices change.</t>
  </si>
  <si>
    <t xml:space="preserve">Paper (ream)</t>
  </si>
  <si>
    <t xml:space="preserve">Envelope + paper per check</t>
  </si>
  <si>
    <t xml:space="preserve">Postage reference</t>
  </si>
  <si>
    <t xml:space="preserve">USPS First-Class Forever stamp</t>
  </si>
  <si>
    <t xml:space="preserve">$0.78 since July 2025. A rise to $0.82 from 12 July 2026 was announced pending regulator approval: confirm at usps.com and update.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</si>
</sst>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d\ mmm\ yyyy"/>
    <numFmt numFmtId="166" formatCode="\$#,##0;&quot;($&quot;#,##0\);\-"/>
    <numFmt numFmtId="167" formatCode="0.0&quot; months&quot;;;\-"/>
    <numFmt numFmtId="168" formatCode="\$#,##0.00;&quot;($&quot;#,##0.00\);\-"/>
    <numFmt numFmtId="169" formatCode="#,##0;\(#,##0\);\-"/>
    <numFmt numFmtId="170" formatCode="0.0"/>
    <numFmt numFmtId="171" formatCode="0.0%;\(0.0%\);\-"/>
    <numFmt numFmtId="172" formatCode="\$#,##0"/>
    <numFmt numFmtId="173" formatCode="\$#,##0.000;&quot;($&quot;#,##0.000\);\-"/>
    <numFmt numFmtId="174" formatCode="#,##0.0;\(#,##0.0\);\-"/>
    <numFmt numFmtId="175" formatCode="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55088"/>
      <name val="Arial"/>
      <family val="0"/>
      <charset val="1"/>
    </font>
    <font>
      <sz val="12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u val="single"/>
      <sz val="9"/>
      <color rgb="FF2059A1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8"/>
      <color rgb="FF2059A1"/>
      <name val="Arial"/>
      <family val="0"/>
      <charset val="1"/>
    </font>
    <font>
      <sz val="8"/>
      <color rgb="FF595959"/>
      <name val="Arial"/>
      <family val="0"/>
      <charset val="1"/>
    </font>
    <font>
      <b val="true"/>
      <sz val="11"/>
      <color rgb="FF255088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i val="true"/>
      <sz val="10"/>
      <color rgb="FF2550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6"/>
      <color rgb="FFFFFFFF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255088"/>
      <name val="Arial"/>
      <family val="0"/>
      <charset val="1"/>
    </font>
    <font>
      <sz val="10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sz val="10"/>
      <name val="Arial"/>
      <family val="2"/>
    </font>
    <font>
      <b val="true"/>
      <sz val="10"/>
      <color rgb="FF255088"/>
      <name val="Arial"/>
      <family val="0"/>
      <charset val="1"/>
    </font>
    <font>
      <sz val="10"/>
      <color rgb="FF80808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CE9D2"/>
        <bgColor rgb="FFFFF2CC"/>
      </patternFill>
    </fill>
    <fill>
      <patternFill patternType="solid">
        <fgColor rgb="FFEEF4FB"/>
        <bgColor rgb="FFFFFFFF"/>
      </patternFill>
    </fill>
    <fill>
      <patternFill patternType="solid">
        <fgColor rgb="FF2059A1"/>
        <bgColor rgb="FF255088"/>
      </patternFill>
    </fill>
    <fill>
      <patternFill patternType="solid">
        <fgColor rgb="FFDCE8F5"/>
        <bgColor rgb="FFEEF4FB"/>
      </patternFill>
    </fill>
    <fill>
      <patternFill patternType="solid">
        <fgColor rgb="FFFFF2CC"/>
        <bgColor rgb="FFFCE9D2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F3A84F"/>
      </top>
      <bottom style="thin">
        <color rgb="FFF3A84F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6" borderId="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23" fillId="6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2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23" fillId="6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23" fillId="6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3" fillId="6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3" fillId="6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3" fillId="6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23" fillId="6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15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6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CE8F5"/>
      <rgbColor rgb="FF660066"/>
      <rgbColor rgb="FFFF8080"/>
      <rgbColor rgb="FF2059A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B"/>
      <rgbColor rgb="FFCCFFCC"/>
      <rgbColor rgb="FFFCE9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3A84F"/>
      <rgbColor rgb="FFFF6600"/>
      <rgbColor rgb="FF595959"/>
      <rgbColor rgb="FF878787"/>
      <rgbColor rgb="FF003366"/>
      <rgbColor rgb="FF339966"/>
      <rgbColor rgb="FF003300"/>
      <rgbColor rgb="FF333300"/>
      <rgbColor rgb="FF993300"/>
      <rgbColor rgb="FF993366"/>
      <rgbColor rgb="FF25508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Cumulative net saving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Summary!$B$23</c:f>
              <c:strCache>
                <c:ptCount val="1"/>
                <c:pt idx="0">
                  <c:v>Cumulative net saving: perpetual</c:v>
                </c:pt>
              </c:strCache>
            </c:strRef>
          </c:tx>
          <c:spPr>
            <a:solidFill>
              <a:srgbClr val="2059a1"/>
            </a:solidFill>
            <a:ln w="28080">
              <a:solidFill>
                <a:srgbClr val="2059a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Summary!$C$25:$G$25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Summary!$C$23:$G$23</c:f>
              <c:numCache>
                <c:formatCode>\$#,##0;"($"#,##0\);\-</c:formatCode>
                <c:ptCount val="5"/>
                <c:pt idx="0">
                  <c:v>364.34</c:v>
                </c:pt>
                <c:pt idx="1">
                  <c:v>2478.68</c:v>
                </c:pt>
                <c:pt idx="2">
                  <c:v>4593.02</c:v>
                </c:pt>
                <c:pt idx="3">
                  <c:v>6707.36</c:v>
                </c:pt>
                <c:pt idx="4">
                  <c:v>8821.7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Summary!$B$24</c:f>
              <c:strCache>
                <c:ptCount val="1"/>
                <c:pt idx="0">
                  <c:v>Cumulative net saving: subscription</c:v>
                </c:pt>
              </c:strCache>
            </c:strRef>
          </c:tx>
          <c:spPr>
            <a:solidFill>
              <a:srgbClr val="f3a84f"/>
            </a:solidFill>
            <a:ln w="28080">
              <a:solidFill>
                <a:srgbClr val="f3a84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Summary!$C$25:$G$25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Summary!$C$24:$G$24</c:f>
              <c:numCache>
                <c:formatCode>\$#,##0;"($"#,##0\);\-</c:formatCode>
                <c:ptCount val="5"/>
                <c:pt idx="0">
                  <c:v>1631.84</c:v>
                </c:pt>
                <c:pt idx="1">
                  <c:v>3263.68</c:v>
                </c:pt>
                <c:pt idx="2">
                  <c:v>4895.52</c:v>
                </c:pt>
                <c:pt idx="3">
                  <c:v>6527.36</c:v>
                </c:pt>
                <c:pt idx="4">
                  <c:v>8159.2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8838746"/>
        <c:axId val="62007178"/>
      </c:lineChart>
      <c:catAx>
        <c:axId val="988387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007178"/>
        <c:crosses val="autoZero"/>
        <c:auto val="1"/>
        <c:lblAlgn val="ctr"/>
        <c:lblOffset val="100"/>
        <c:noMultiLvlLbl val="0"/>
      </c:catAx>
      <c:valAx>
        <c:axId val="62007178"/>
        <c:scaling>
          <c:orientation val="minMax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83874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Relationship Id="rId3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26</xdr:row>
      <xdr:rowOff>0</xdr:rowOff>
    </xdr:from>
    <xdr:to>
      <xdr:col>9</xdr:col>
      <xdr:colOff>580680</xdr:colOff>
      <xdr:row>39</xdr:row>
      <xdr:rowOff>43200</xdr:rowOff>
    </xdr:to>
    <xdr:graphicFrame>
      <xdr:nvGraphicFramePr>
        <xdr:cNvPr id="0" name="Chart 1"/>
        <xdr:cNvGraphicFramePr/>
      </xdr:nvGraphicFramePr>
      <xdr:xfrm>
        <a:off x="141120" y="6391440"/>
        <a:ext cx="91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514080</xdr:colOff>
      <xdr:row>1</xdr:row>
      <xdr:rowOff>218880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41120" y="0"/>
          <a:ext cx="514080" cy="495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561960</xdr:colOff>
      <xdr:row>54</xdr:row>
      <xdr:rowOff>114120</xdr:rowOff>
    </xdr:from>
    <xdr:to>
      <xdr:col>7</xdr:col>
      <xdr:colOff>999720</xdr:colOff>
      <xdr:row>55</xdr:row>
      <xdr:rowOff>437760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7046640" y="11839320"/>
          <a:ext cx="14950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8" min="3" style="0" width="15"/>
    <col collapsed="false" customWidth="true" hidden="false" outlineLevel="0" max="9" min="9" style="0" width="2"/>
  </cols>
  <sheetData>
    <row r="1" customFormat="false" ht="21.75" hidden="false" customHeight="true" outlineLevel="0" collapsed="false">
      <c r="C1" s="1" t="s">
        <v>0</v>
      </c>
    </row>
    <row r="2" customFormat="false" ht="21.75" hidden="false" customHeight="true" outlineLevel="0" collapsed="false">
      <c r="C2" s="2" t="s">
        <v>1</v>
      </c>
    </row>
    <row r="4" customFormat="false" ht="15" hidden="false" customHeight="false" outlineLevel="0" collapsed="false">
      <c r="B4" s="3" t="s">
        <v>2</v>
      </c>
      <c r="C4" s="4" t="str">
        <f aca="false">Inputs!B6</f>
        <v>Example Co.</v>
      </c>
      <c r="E4" s="3" t="s">
        <v>3</v>
      </c>
      <c r="F4" s="4" t="str">
        <f aca="false">Inputs!B7</f>
        <v>Orchid Systems</v>
      </c>
    </row>
    <row r="5" customFormat="false" ht="15" hidden="false" customHeight="false" outlineLevel="0" collapsed="false">
      <c r="B5" s="3" t="s">
        <v>4</v>
      </c>
      <c r="C5" s="4" t="str">
        <f aca="false">Inputs!B11</f>
        <v>USA</v>
      </c>
      <c r="E5" s="3" t="s">
        <v>5</v>
      </c>
      <c r="F5" s="5" t="n">
        <f aca="false">Inputs!B8</f>
        <v>46313</v>
      </c>
    </row>
    <row r="6" customFormat="false" ht="18" hidden="false" customHeight="true" outlineLevel="0" collapsed="false">
      <c r="B6" s="6" t="str">
        <f aca="false">"Amounts in "&amp;Inputs!B13&amp;IF(Inputs!B11&lt;&gt;Inputs!B12,", using US pricing","")</f>
        <v>Amounts in USD</v>
      </c>
      <c r="H6" s="7" t="s">
        <v>6</v>
      </c>
    </row>
    <row r="7" customFormat="false" ht="57.75" hidden="false" customHeight="true" outlineLevel="0" collapsed="false">
      <c r="B7" s="8" t="s">
        <v>7</v>
      </c>
      <c r="C7" s="8"/>
      <c r="D7" s="8"/>
      <c r="E7" s="8"/>
      <c r="F7" s="8"/>
      <c r="G7" s="8"/>
      <c r="H7" s="8"/>
    </row>
    <row r="8" customFormat="false" ht="18" hidden="false" customHeight="true" outlineLevel="0" collapsed="false">
      <c r="B8" s="9" t="s">
        <v>8</v>
      </c>
      <c r="C8" s="10" t="s">
        <v>9</v>
      </c>
      <c r="D8" s="10"/>
      <c r="E8" s="10" t="s">
        <v>10</v>
      </c>
      <c r="F8" s="10"/>
      <c r="G8" s="10" t="s">
        <v>11</v>
      </c>
      <c r="H8" s="10"/>
    </row>
    <row r="9" customFormat="false" ht="30" hidden="false" customHeight="true" outlineLevel="0" collapsed="false">
      <c r="B9" s="11" t="n">
        <f aca="false">MAX(Calculations!G32,Calculations!G39)</f>
        <v>8821.7</v>
      </c>
      <c r="C9" s="12" t="n">
        <f aca="false">Calculations!B53</f>
        <v>10.2383715307997</v>
      </c>
      <c r="D9" s="12"/>
      <c r="E9" s="13" t="n">
        <f aca="false">Calculations!D9</f>
        <v>6.894</v>
      </c>
      <c r="F9" s="13"/>
      <c r="G9" s="14" t="n">
        <f aca="false">Calculations!B58</f>
        <v>54</v>
      </c>
      <c r="H9" s="14"/>
    </row>
    <row r="10" customFormat="false" ht="25.5" hidden="false" customHeight="true" outlineLevel="0" collapsed="false">
      <c r="B10" s="15" t="str">
        <f aca="false">"with "&amp;LOWER(Calculations!B50)</f>
        <v>with perpetual licence</v>
      </c>
      <c r="C10" s="16" t="str">
        <f aca="false">IF(Calculations!B55&gt;0,"Subscription: net positive from month 1","Subscription: costs more than it saves")</f>
        <v>Subscription: net positive from month 1</v>
      </c>
      <c r="D10" s="16"/>
      <c r="E10" s="16" t="str">
        <f aca="false">"vs "&amp;TEXT(Calculations!B9,"$0.00")&amp;" per manual check"</f>
        <v>vs $8.56 per manual check</v>
      </c>
      <c r="F10" s="16"/>
      <c r="G10" s="16" t="str">
        <f aca="false">"per year, about "&amp;TEXT(Calculations!B58/52,"0.0")&amp;" hrs a week"</f>
        <v>per year, about 1.0 hrs a week</v>
      </c>
      <c r="H10" s="16"/>
    </row>
    <row r="12" customFormat="false" ht="15" hidden="false" customHeight="false" outlineLevel="0" collapsed="false">
      <c r="B12" s="17" t="s">
        <v>12</v>
      </c>
    </row>
    <row r="13" customFormat="false" ht="30" hidden="false" customHeight="true" outlineLevel="0" collapsed="false">
      <c r="B13" s="18" t="str">
        <f aca="false">IF(MAX(Calculations!G32,Calculations!G39)&lt;=0,"Neither option pays back within 5 years at these inputs. Check payment volumes and staff time.",Calculations!B50&amp;" gives the larger saving over 5 years ("&amp;TEXT(MAX(Calculations!G32,Calculations!G39),"$#,##0")&amp;" vs "&amp;TEXT(MIN(Calculations!G32,Calculations!G39),"$#,##0")&amp;"). "&amp;IF(ISNUMBER(MATCH(1,Calculations!B45:F45,0)),"The perpetual licence becomes the cheaper option in "&amp;Calculations!B51&amp;".","The subscription stays cheaper for all 5 years."))</f>
        <v>Perpetual licence gives the larger saving over 5 years ($8,822 vs $8,159). The perpetual licence becomes the cheaper option in Year 4.</v>
      </c>
      <c r="C13" s="18"/>
      <c r="D13" s="18"/>
      <c r="E13" s="18"/>
      <c r="F13" s="18"/>
      <c r="G13" s="18"/>
      <c r="H13" s="18"/>
    </row>
    <row r="14" customFormat="false" ht="25.5" hidden="false" customHeight="true" outlineLevel="0" collapsed="false">
      <c r="B14" s="19" t="s">
        <v>13</v>
      </c>
      <c r="C14" s="19"/>
      <c r="D14" s="19"/>
      <c r="E14" s="19"/>
      <c r="F14" s="19"/>
      <c r="G14" s="19"/>
      <c r="H14" s="19"/>
    </row>
    <row r="15" customFormat="false" ht="15" hidden="false" customHeight="false" outlineLevel="0" collapsed="false">
      <c r="B15" s="20" t="s">
        <v>14</v>
      </c>
      <c r="C15" s="21"/>
      <c r="D15" s="21"/>
      <c r="E15" s="21"/>
      <c r="F15" s="21"/>
      <c r="G15" s="21"/>
      <c r="H15" s="21"/>
    </row>
    <row r="16" customFormat="false" ht="15" hidden="false" customHeight="false" outlineLevel="0" collapsed="false">
      <c r="B16" s="22"/>
      <c r="C16" s="23" t="s">
        <v>15</v>
      </c>
      <c r="D16" s="23" t="s">
        <v>16</v>
      </c>
      <c r="E16" s="23" t="s">
        <v>17</v>
      </c>
      <c r="F16" s="23" t="s">
        <v>18</v>
      </c>
      <c r="G16" s="23" t="s">
        <v>19</v>
      </c>
      <c r="H16" s="23" t="s">
        <v>20</v>
      </c>
    </row>
    <row r="17" customFormat="false" ht="15" hidden="false" customHeight="false" outlineLevel="0" collapsed="false">
      <c r="B17" s="24" t="s">
        <v>21</v>
      </c>
      <c r="C17" s="25" t="n">
        <f aca="false">Calculations!B20</f>
        <v>3081.84</v>
      </c>
      <c r="D17" s="25" t="n">
        <f aca="false">Calculations!C20</f>
        <v>3081.84</v>
      </c>
      <c r="E17" s="25" t="n">
        <f aca="false">Calculations!D20</f>
        <v>3081.84</v>
      </c>
      <c r="F17" s="25" t="n">
        <f aca="false">Calculations!E20</f>
        <v>3081.84</v>
      </c>
      <c r="G17" s="25" t="n">
        <f aca="false">Calculations!F20</f>
        <v>3081.84</v>
      </c>
      <c r="H17" s="25" t="n">
        <f aca="false">Calculations!G20</f>
        <v>15409.2</v>
      </c>
    </row>
    <row r="18" customFormat="false" ht="15" hidden="false" customHeight="false" outlineLevel="0" collapsed="false">
      <c r="B18" s="24" t="s">
        <v>22</v>
      </c>
      <c r="C18" s="25" t="n">
        <f aca="false">Calculations!B22</f>
        <v>2481.84</v>
      </c>
      <c r="D18" s="25" t="n">
        <f aca="false">Calculations!C22</f>
        <v>2481.84</v>
      </c>
      <c r="E18" s="25" t="n">
        <f aca="false">Calculations!D22</f>
        <v>2481.84</v>
      </c>
      <c r="F18" s="25" t="n">
        <f aca="false">Calculations!E22</f>
        <v>2481.84</v>
      </c>
      <c r="G18" s="25" t="n">
        <f aca="false">Calculations!F22</f>
        <v>2481.84</v>
      </c>
      <c r="H18" s="25" t="n">
        <f aca="false">Calculations!G22</f>
        <v>12409.2</v>
      </c>
    </row>
    <row r="19" customFormat="false" ht="15" hidden="false" customHeight="false" outlineLevel="0" collapsed="false">
      <c r="B19" s="24" t="s">
        <v>23</v>
      </c>
      <c r="C19" s="25" t="n">
        <f aca="false">Calculations!B23</f>
        <v>321.84</v>
      </c>
      <c r="D19" s="25" t="n">
        <f aca="false">Calculations!C23</f>
        <v>321.84</v>
      </c>
      <c r="E19" s="25" t="n">
        <f aca="false">Calculations!D23</f>
        <v>321.84</v>
      </c>
      <c r="F19" s="25" t="n">
        <f aca="false">Calculations!E23</f>
        <v>321.84</v>
      </c>
      <c r="G19" s="25" t="n">
        <f aca="false">Calculations!F23</f>
        <v>321.84</v>
      </c>
      <c r="H19" s="25" t="n">
        <f aca="false">Calculations!G23</f>
        <v>1609.2</v>
      </c>
    </row>
    <row r="20" customFormat="false" ht="15" hidden="false" customHeight="false" outlineLevel="0" collapsed="false">
      <c r="B20" s="24" t="s">
        <v>24</v>
      </c>
      <c r="C20" s="25" t="n">
        <f aca="false">Calculations!B24</f>
        <v>2160</v>
      </c>
      <c r="D20" s="25" t="n">
        <f aca="false">Calculations!C24</f>
        <v>2160</v>
      </c>
      <c r="E20" s="25" t="n">
        <f aca="false">Calculations!D24</f>
        <v>2160</v>
      </c>
      <c r="F20" s="25" t="n">
        <f aca="false">Calculations!E24</f>
        <v>2160</v>
      </c>
      <c r="G20" s="25" t="n">
        <f aca="false">Calculations!F24</f>
        <v>2160</v>
      </c>
      <c r="H20" s="25" t="n">
        <f aca="false">Calculations!G24</f>
        <v>10800</v>
      </c>
    </row>
    <row r="21" customFormat="false" ht="15" hidden="false" customHeight="false" outlineLevel="0" collapsed="false">
      <c r="B21" s="26" t="s">
        <v>25</v>
      </c>
      <c r="C21" s="27" t="n">
        <f aca="false">Calculations!B32</f>
        <v>364.34</v>
      </c>
      <c r="D21" s="27" t="n">
        <f aca="false">Calculations!C32</f>
        <v>2114.34</v>
      </c>
      <c r="E21" s="27" t="n">
        <f aca="false">Calculations!D32</f>
        <v>2114.34</v>
      </c>
      <c r="F21" s="27" t="n">
        <f aca="false">Calculations!E32</f>
        <v>2114.34</v>
      </c>
      <c r="G21" s="27" t="n">
        <f aca="false">Calculations!F32</f>
        <v>2114.34</v>
      </c>
      <c r="H21" s="27" t="n">
        <f aca="false">Calculations!G32</f>
        <v>8821.7</v>
      </c>
    </row>
    <row r="22" customFormat="false" ht="15" hidden="false" customHeight="false" outlineLevel="0" collapsed="false">
      <c r="B22" s="3" t="s">
        <v>26</v>
      </c>
      <c r="C22" s="28" t="n">
        <f aca="false">Calculations!B39</f>
        <v>1631.84</v>
      </c>
      <c r="D22" s="28" t="n">
        <f aca="false">Calculations!C39</f>
        <v>1631.84</v>
      </c>
      <c r="E22" s="28" t="n">
        <f aca="false">Calculations!D39</f>
        <v>1631.84</v>
      </c>
      <c r="F22" s="28" t="n">
        <f aca="false">Calculations!E39</f>
        <v>1631.84</v>
      </c>
      <c r="G22" s="28" t="n">
        <f aca="false">Calculations!F39</f>
        <v>1631.84</v>
      </c>
      <c r="H22" s="28" t="n">
        <f aca="false">Calculations!G39</f>
        <v>8159.2</v>
      </c>
    </row>
    <row r="23" customFormat="false" ht="15" hidden="false" customHeight="false" outlineLevel="0" collapsed="false">
      <c r="B23" s="6" t="s">
        <v>27</v>
      </c>
      <c r="C23" s="29" t="n">
        <f aca="false">Calculations!B33</f>
        <v>364.34</v>
      </c>
      <c r="D23" s="29" t="n">
        <f aca="false">Calculations!C33</f>
        <v>2478.68</v>
      </c>
      <c r="E23" s="29" t="n">
        <f aca="false">Calculations!D33</f>
        <v>4593.02</v>
      </c>
      <c r="F23" s="29" t="n">
        <f aca="false">Calculations!E33</f>
        <v>6707.36</v>
      </c>
      <c r="G23" s="29" t="n">
        <f aca="false">Calculations!F33</f>
        <v>8821.7</v>
      </c>
    </row>
    <row r="24" customFormat="false" ht="15" hidden="false" customHeight="false" outlineLevel="0" collapsed="false">
      <c r="B24" s="6" t="s">
        <v>28</v>
      </c>
      <c r="C24" s="29" t="n">
        <f aca="false">Calculations!B40</f>
        <v>1631.84</v>
      </c>
      <c r="D24" s="29" t="n">
        <f aca="false">Calculations!C40</f>
        <v>3263.68</v>
      </c>
      <c r="E24" s="29" t="n">
        <f aca="false">Calculations!D40</f>
        <v>4895.52</v>
      </c>
      <c r="F24" s="29" t="n">
        <f aca="false">Calculations!E40</f>
        <v>6527.36</v>
      </c>
      <c r="G24" s="29" t="n">
        <f aca="false">Calculations!F40</f>
        <v>8159.2</v>
      </c>
    </row>
    <row r="25" customFormat="false" ht="15" hidden="false" customHeight="false" outlineLevel="0" collapsed="false">
      <c r="B25" s="30" t="s">
        <v>29</v>
      </c>
      <c r="C25" s="30" t="s">
        <v>15</v>
      </c>
      <c r="D25" s="30" t="s">
        <v>16</v>
      </c>
      <c r="E25" s="30" t="s">
        <v>17</v>
      </c>
      <c r="F25" s="30" t="s">
        <v>18</v>
      </c>
      <c r="G25" s="30" t="s">
        <v>19</v>
      </c>
    </row>
    <row r="43" customFormat="false" ht="15" hidden="false" customHeight="false" outlineLevel="0" collapsed="false">
      <c r="B43" s="20" t="s">
        <v>30</v>
      </c>
      <c r="C43" s="21"/>
      <c r="D43" s="21"/>
      <c r="E43" s="21"/>
      <c r="F43" s="21"/>
      <c r="G43" s="21"/>
      <c r="H43" s="21"/>
    </row>
    <row r="44" customFormat="false" ht="15" hidden="false" customHeight="false" outlineLevel="0" collapsed="false">
      <c r="B44" s="24" t="s">
        <v>31</v>
      </c>
      <c r="D44" s="28" t="n">
        <f aca="false">Calculations!B23</f>
        <v>321.84</v>
      </c>
      <c r="E44" s="6" t="s">
        <v>32</v>
      </c>
    </row>
    <row r="45" customFormat="false" ht="15" hidden="false" customHeight="false" outlineLevel="0" collapsed="false">
      <c r="B45" s="24" t="s">
        <v>33</v>
      </c>
      <c r="D45" s="28" t="n">
        <f aca="false">Calculations!B24</f>
        <v>2160</v>
      </c>
      <c r="E45" s="6" t="str">
        <f aca="false">TEXT(Calculations!B58,"#,##0")&amp;" hours freed for higher-value work."</f>
        <v>54 hours freed for higher-value work.</v>
      </c>
    </row>
    <row r="46" customFormat="false" ht="15" hidden="false" customHeight="false" outlineLevel="0" collapsed="false">
      <c r="B46" s="24" t="s">
        <v>34</v>
      </c>
      <c r="D46" s="31" t="n">
        <f aca="false">Calculations!B59</f>
        <v>10.2746349482642</v>
      </c>
      <c r="E46" s="6" t="str">
        <f aca="false">IF(ISNUMBER(Calculations!B60),"On cash savings alone: "&amp;TEXT(Calculations!B60,"0.0")&amp;" payments a month.","Cash savings alone do not cover the subscription at these inputs.")</f>
        <v>On cash savings alone: 79.2 payments a month.</v>
      </c>
    </row>
    <row r="47" customFormat="false" ht="15" hidden="false" customHeight="false" outlineLevel="0" collapsed="false">
      <c r="B47" s="24" t="s">
        <v>35</v>
      </c>
      <c r="D47" s="32" t="n">
        <f aca="false">Calculations!D10</f>
        <v>0.870322019147084</v>
      </c>
      <c r="E47" s="6" t="s">
        <v>36</v>
      </c>
    </row>
    <row r="49" customFormat="false" ht="15" hidden="false" customHeight="false" outlineLevel="0" collapsed="false">
      <c r="B49" s="20" t="s">
        <v>37</v>
      </c>
      <c r="C49" s="21"/>
      <c r="D49" s="21"/>
      <c r="E49" s="21"/>
      <c r="F49" s="21"/>
      <c r="G49" s="21"/>
      <c r="H49" s="21"/>
    </row>
    <row r="50" customFormat="false" ht="15" hidden="false" customHeight="false" outlineLevel="0" collapsed="false">
      <c r="B50" s="24" t="s">
        <v>38</v>
      </c>
    </row>
    <row r="51" customFormat="false" ht="15" hidden="false" customHeight="false" outlineLevel="0" collapsed="false">
      <c r="B51" s="24" t="s">
        <v>39</v>
      </c>
    </row>
    <row r="52" customFormat="false" ht="15" hidden="false" customHeight="false" outlineLevel="0" collapsed="false">
      <c r="B52" s="24" t="s">
        <v>40</v>
      </c>
    </row>
    <row r="53" customFormat="false" ht="15" hidden="false" customHeight="false" outlineLevel="0" collapsed="false">
      <c r="B53" s="24" t="s">
        <v>41</v>
      </c>
    </row>
    <row r="56" customFormat="false" ht="39.75" hidden="false" customHeight="true" outlineLevel="0" collapsed="false">
      <c r="B56" s="33" t="s">
        <v>42</v>
      </c>
      <c r="C56" s="33"/>
      <c r="D56" s="33"/>
      <c r="E56" s="33"/>
      <c r="F56" s="33"/>
    </row>
  </sheetData>
  <sheetProtection sheet="true"/>
  <mergeCells count="13">
    <mergeCell ref="B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B13:H13"/>
    <mergeCell ref="B14:H14"/>
    <mergeCell ref="B56:F56"/>
  </mergeCells>
  <hyperlinks>
    <hyperlink ref="H6" location="Inputs!A1" display="Go to Inputs tab ›"/>
  </hyperlink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3"/>
    <col collapsed="false" customWidth="true" hidden="false" outlineLevel="0" max="4" min="4" style="0" width="62"/>
  </cols>
  <sheetData>
    <row r="1" customFormat="false" ht="17.35" hidden="false" customHeight="false" outlineLevel="0" collapsed="false">
      <c r="A1" s="34" t="s">
        <v>43</v>
      </c>
    </row>
    <row r="2" customFormat="false" ht="15" hidden="false" customHeight="false" outlineLevel="0" collapsed="false">
      <c r="A2" s="6" t="s">
        <v>44</v>
      </c>
    </row>
    <row r="3" customFormat="false" ht="15" hidden="false" customHeight="false" outlineLevel="0" collapsed="false">
      <c r="A3" s="3" t="s">
        <v>45</v>
      </c>
      <c r="B3" s="35" t="s">
        <v>46</v>
      </c>
      <c r="D3" s="6" t="s">
        <v>47</v>
      </c>
    </row>
    <row r="5" customFormat="false" ht="15" hidden="false" customHeight="false" outlineLevel="0" collapsed="false">
      <c r="A5" s="20" t="s">
        <v>48</v>
      </c>
      <c r="B5" s="21"/>
      <c r="C5" s="21"/>
      <c r="D5" s="21"/>
    </row>
    <row r="6" customFormat="false" ht="15" hidden="false" customHeight="false" outlineLevel="0" collapsed="false">
      <c r="A6" s="24" t="s">
        <v>49</v>
      </c>
      <c r="B6" s="36" t="s">
        <v>50</v>
      </c>
    </row>
    <row r="7" customFormat="false" ht="15" hidden="false" customHeight="false" outlineLevel="0" collapsed="false">
      <c r="A7" s="24" t="s">
        <v>3</v>
      </c>
      <c r="B7" s="36" t="s">
        <v>51</v>
      </c>
    </row>
    <row r="8" customFormat="false" ht="15" hidden="false" customHeight="false" outlineLevel="0" collapsed="false">
      <c r="A8" s="24" t="s">
        <v>5</v>
      </c>
      <c r="B8" s="37" t="n">
        <f aca="true">TODAY()</f>
        <v>46313</v>
      </c>
    </row>
    <row r="10" customFormat="false" ht="15" hidden="false" customHeight="false" outlineLevel="0" collapsed="false">
      <c r="A10" s="20" t="s">
        <v>52</v>
      </c>
      <c r="B10" s="21"/>
      <c r="C10" s="21"/>
      <c r="D10" s="21"/>
    </row>
    <row r="11" customFormat="false" ht="15" hidden="false" customHeight="false" outlineLevel="0" collapsed="false">
      <c r="A11" s="24" t="s">
        <v>4</v>
      </c>
      <c r="B11" s="36" t="s">
        <v>53</v>
      </c>
      <c r="D11" s="6" t="str">
        <f aca="false">IF(ISNUMBER(MATCH(B11,PriceCountries,0)),"Local price list applies.","No local price list: US pricing (USD) applied.")</f>
        <v>Local price list applies.</v>
      </c>
    </row>
    <row r="12" customFormat="false" ht="15" hidden="false" customHeight="false" outlineLevel="0" collapsed="false">
      <c r="A12" s="24" t="s">
        <v>54</v>
      </c>
      <c r="B12" s="38" t="str">
        <f aca="false">IF(ISNUMBER(MATCH(B11,PriceCountries,0)),B11,"USA")</f>
        <v>USA</v>
      </c>
    </row>
    <row r="13" customFormat="false" ht="15" hidden="false" customHeight="false" outlineLevel="0" collapsed="false">
      <c r="A13" s="24" t="s">
        <v>55</v>
      </c>
      <c r="B13" s="38" t="str">
        <f aca="false">INDEX(PriceCur,MATCH(B12,PriceCountries,0))</f>
        <v>USD</v>
      </c>
    </row>
    <row r="14" customFormat="false" ht="15" hidden="false" customHeight="false" outlineLevel="0" collapsed="false">
      <c r="A14" s="24" t="s">
        <v>56</v>
      </c>
      <c r="B14" s="39" t="n">
        <f aca="false">INDEX(PriceSub,MATCH(B12,PriceCountries,0))</f>
        <v>850</v>
      </c>
    </row>
    <row r="15" customFormat="false" ht="15" hidden="false" customHeight="false" outlineLevel="0" collapsed="false">
      <c r="A15" s="24" t="s">
        <v>57</v>
      </c>
      <c r="B15" s="39" t="n">
        <f aca="false">INDEX(PricePerp,MATCH(B12,PriceCountries,0))</f>
        <v>1750</v>
      </c>
    </row>
    <row r="16" customFormat="false" ht="15" hidden="false" customHeight="false" outlineLevel="0" collapsed="false">
      <c r="A16" s="24" t="s">
        <v>58</v>
      </c>
      <c r="B16" s="40" t="n">
        <f aca="false">INDEX(PriceSA,MATCH(B12,PriceCountries,0))</f>
        <v>0.21</v>
      </c>
    </row>
    <row r="17" customFormat="false" ht="15" hidden="false" customHeight="false" outlineLevel="0" collapsed="false">
      <c r="A17" s="24" t="s">
        <v>59</v>
      </c>
      <c r="B17" s="39" t="n">
        <f aca="false">B15*B16</f>
        <v>367.5</v>
      </c>
    </row>
    <row r="18" customFormat="false" ht="15" hidden="false" customHeight="false" outlineLevel="0" collapsed="false">
      <c r="A18" s="24" t="s">
        <v>60</v>
      </c>
      <c r="B18" s="41" t="s">
        <v>61</v>
      </c>
      <c r="D18" s="6" t="s">
        <v>62</v>
      </c>
    </row>
    <row r="20" customFormat="false" ht="15" hidden="false" customHeight="false" outlineLevel="0" collapsed="false">
      <c r="A20" s="20" t="s">
        <v>63</v>
      </c>
      <c r="B20" s="21"/>
      <c r="C20" s="21"/>
      <c r="D20" s="21"/>
    </row>
    <row r="21" customFormat="false" ht="15" hidden="false" customHeight="false" outlineLevel="0" collapsed="false">
      <c r="A21" s="24" t="s">
        <v>64</v>
      </c>
      <c r="B21" s="42" t="n">
        <v>40</v>
      </c>
    </row>
    <row r="22" customFormat="false" ht="15" hidden="false" customHeight="false" outlineLevel="0" collapsed="false">
      <c r="A22" s="24" t="s">
        <v>65</v>
      </c>
      <c r="B22" s="43" t="n">
        <v>30</v>
      </c>
    </row>
    <row r="23" customFormat="false" ht="15" hidden="false" customHeight="false" outlineLevel="0" collapsed="false">
      <c r="A23" s="24" t="s">
        <v>66</v>
      </c>
      <c r="B23" s="42" t="n">
        <v>1</v>
      </c>
    </row>
    <row r="24" customFormat="false" ht="15" hidden="false" customHeight="false" outlineLevel="0" collapsed="false">
      <c r="A24" s="24" t="s">
        <v>67</v>
      </c>
      <c r="B24" s="42" t="n">
        <v>1</v>
      </c>
    </row>
    <row r="25" customFormat="false" ht="15" hidden="false" customHeight="false" outlineLevel="0" collapsed="false">
      <c r="A25" s="24" t="s">
        <v>68</v>
      </c>
      <c r="B25" s="42" t="n">
        <v>0</v>
      </c>
    </row>
    <row r="27" customFormat="false" ht="15" hidden="false" customHeight="false" outlineLevel="0" collapsed="false">
      <c r="A27" s="20" t="s">
        <v>69</v>
      </c>
      <c r="B27" s="21"/>
      <c r="C27" s="21"/>
      <c r="D27" s="21"/>
    </row>
    <row r="28" customFormat="false" ht="15" hidden="false" customHeight="false" outlineLevel="0" collapsed="false">
      <c r="A28" s="24" t="s">
        <v>70</v>
      </c>
      <c r="B28" s="44" t="n">
        <f aca="false">Prices!B17</f>
        <v>0.78</v>
      </c>
      <c r="D28" s="6" t="s">
        <v>71</v>
      </c>
    </row>
    <row r="29" customFormat="false" ht="15" hidden="false" customHeight="false" outlineLevel="0" collapsed="false">
      <c r="A29" s="24" t="s">
        <v>72</v>
      </c>
      <c r="B29" s="45" t="n">
        <f aca="false">Prices!D14</f>
        <v>0.064</v>
      </c>
      <c r="D29" s="6" t="s">
        <v>73</v>
      </c>
    </row>
    <row r="30" customFormat="false" ht="15" hidden="false" customHeight="false" outlineLevel="0" collapsed="false">
      <c r="A30" s="24" t="s">
        <v>74</v>
      </c>
      <c r="B30" s="42" t="n">
        <v>0.05</v>
      </c>
    </row>
    <row r="31" customFormat="false" ht="15" hidden="false" customHeight="false" outlineLevel="0" collapsed="false">
      <c r="A31" s="24" t="s">
        <v>75</v>
      </c>
      <c r="B31" s="42" t="n">
        <v>0</v>
      </c>
    </row>
    <row r="32" customFormat="false" ht="15" hidden="false" customHeight="false" outlineLevel="0" collapsed="false">
      <c r="A32" s="24" t="s">
        <v>76</v>
      </c>
      <c r="B32" s="42" t="n">
        <v>0</v>
      </c>
    </row>
    <row r="33" customFormat="false" ht="15" hidden="false" customHeight="false" outlineLevel="0" collapsed="false">
      <c r="A33" s="24" t="s">
        <v>66</v>
      </c>
      <c r="B33" s="39" t="n">
        <f aca="false">B23</f>
        <v>1</v>
      </c>
    </row>
    <row r="34" customFormat="false" ht="15" hidden="false" customHeight="false" outlineLevel="0" collapsed="false">
      <c r="A34" s="3" t="s">
        <v>77</v>
      </c>
      <c r="B34" s="46" t="n">
        <f aca="false">SUM(B28:B33)</f>
        <v>1.894</v>
      </c>
    </row>
    <row r="36" customFormat="false" ht="15" hidden="false" customHeight="false" outlineLevel="0" collapsed="false">
      <c r="A36" s="20" t="s">
        <v>78</v>
      </c>
      <c r="B36" s="21"/>
      <c r="C36" s="21"/>
      <c r="D36" s="21"/>
    </row>
    <row r="37" customFormat="false" ht="15" hidden="false" customHeight="false" outlineLevel="0" collapsed="false">
      <c r="A37" s="24" t="s">
        <v>79</v>
      </c>
      <c r="B37" s="47" t="n">
        <v>5</v>
      </c>
    </row>
    <row r="38" customFormat="false" ht="15" hidden="false" customHeight="false" outlineLevel="0" collapsed="false">
      <c r="A38" s="24" t="s">
        <v>80</v>
      </c>
      <c r="B38" s="47" t="n">
        <v>2</v>
      </c>
    </row>
    <row r="39" customFormat="false" ht="15" hidden="false" customHeight="false" outlineLevel="0" collapsed="false">
      <c r="A39" s="24" t="s">
        <v>81</v>
      </c>
      <c r="B39" s="47" t="n">
        <v>3</v>
      </c>
    </row>
    <row r="40" customFormat="false" ht="15" hidden="false" customHeight="false" outlineLevel="0" collapsed="false">
      <c r="A40" s="3" t="s">
        <v>82</v>
      </c>
      <c r="B40" s="48" t="n">
        <f aca="false">SUM(B37:B39)</f>
        <v>10</v>
      </c>
    </row>
    <row r="41" customFormat="false" ht="15" hidden="false" customHeight="false" outlineLevel="0" collapsed="false">
      <c r="A41" s="24" t="s">
        <v>83</v>
      </c>
      <c r="B41" s="47" t="n">
        <v>1</v>
      </c>
    </row>
    <row r="43" customFormat="false" ht="15" hidden="false" customHeight="false" outlineLevel="0" collapsed="false">
      <c r="A43" s="20" t="s">
        <v>84</v>
      </c>
      <c r="B43" s="21"/>
      <c r="C43" s="21"/>
      <c r="D43" s="21"/>
    </row>
    <row r="44" customFormat="false" ht="15" hidden="false" customHeight="false" outlineLevel="0" collapsed="false">
      <c r="A44" s="24" t="s">
        <v>85</v>
      </c>
    </row>
    <row r="45" customFormat="false" ht="15" hidden="false" customHeight="false" outlineLevel="0" collapsed="false">
      <c r="A45" s="24" t="s">
        <v>86</v>
      </c>
      <c r="B45" s="49" t="n">
        <v>1</v>
      </c>
    </row>
    <row r="46" customFormat="false" ht="15" hidden="false" customHeight="false" outlineLevel="0" collapsed="false">
      <c r="A46" s="24" t="s">
        <v>87</v>
      </c>
      <c r="B46" s="49" t="n">
        <v>1</v>
      </c>
    </row>
    <row r="47" customFormat="false" ht="15" hidden="false" customHeight="false" outlineLevel="0" collapsed="false">
      <c r="A47" s="24" t="s">
        <v>88</v>
      </c>
      <c r="B47" s="49" t="n">
        <v>1</v>
      </c>
    </row>
    <row r="48" customFormat="false" ht="15" hidden="false" customHeight="false" outlineLevel="0" collapsed="false">
      <c r="A48" s="24" t="s">
        <v>89</v>
      </c>
      <c r="B48" s="49" t="n">
        <v>1</v>
      </c>
    </row>
    <row r="49" customFormat="false" ht="15" hidden="false" customHeight="false" outlineLevel="0" collapsed="false">
      <c r="A49" s="24" t="s">
        <v>90</v>
      </c>
      <c r="B49" s="49" t="n">
        <v>1</v>
      </c>
    </row>
    <row r="50" customFormat="false" ht="15" hidden="false" customHeight="false" outlineLevel="0" collapsed="false">
      <c r="A50" s="24" t="s">
        <v>91</v>
      </c>
      <c r="B50" s="49" t="n">
        <v>0</v>
      </c>
    </row>
    <row r="51" customFormat="false" ht="15" hidden="false" customHeight="false" outlineLevel="0" collapsed="false">
      <c r="A51" s="24" t="s">
        <v>92</v>
      </c>
      <c r="B51" s="49" t="n">
        <v>0</v>
      </c>
    </row>
  </sheetData>
  <sheetProtection sheet="true"/>
  <dataValidations count="3">
    <dataValidation allowBlank="false" error="Pick a country from the list." errorStyle="stop" errorTitle="Country" operator="between" showDropDown="false" showErrorMessage="true" showInputMessage="false" sqref="B11" type="list">
      <formula1>"USA,Canada,Australia,New Zealand,United Kingdom,Other"</formula1>
      <formula2>0</formula2>
    </dataValidation>
    <dataValidation allowBlank="false" error="Enter a percentage between 0% and 100%." errorStyle="stop" operator="between" showDropDown="false" showErrorMessage="true" showInputMessage="false" sqref="B45:B49" type="decimal">
      <formula1>0</formula1>
      <formula2>1</formula2>
    </dataValidation>
    <dataValidation allowBlank="false" error="Enter zero or a positive number." errorStyle="stop" operator="greaterThanOrEqual" showDropDown="false" showErrorMessage="true" showInputMessage="false" sqref="B21:B25 B30:B32 B37:B39 B41" type="decimal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7" min="2" style="0" width="14"/>
  </cols>
  <sheetData>
    <row r="1" customFormat="false" ht="17.35" hidden="false" customHeight="false" outlineLevel="0" collapsed="false">
      <c r="A1" s="34" t="s">
        <v>93</v>
      </c>
    </row>
    <row r="2" customFormat="false" ht="15" hidden="false" customHeight="false" outlineLevel="0" collapsed="false">
      <c r="A2" s="6" t="str">
        <f aca="false">"All amounts in "&amp;Inputs!B13&amp;". No inputs on this tab."</f>
        <v>All amounts in USD. No inputs on this tab.</v>
      </c>
    </row>
    <row r="4" customFormat="false" ht="15" hidden="false" customHeight="false" outlineLevel="0" collapsed="false">
      <c r="A4" s="20" t="s">
        <v>94</v>
      </c>
      <c r="B4" s="21"/>
      <c r="C4" s="21"/>
      <c r="D4" s="21"/>
      <c r="E4" s="21"/>
      <c r="F4" s="21"/>
      <c r="G4" s="21"/>
    </row>
    <row r="5" customFormat="false" ht="15" hidden="false" customHeight="false" outlineLevel="0" collapsed="false">
      <c r="B5" s="23" t="s">
        <v>95</v>
      </c>
      <c r="C5" s="23" t="s">
        <v>96</v>
      </c>
      <c r="D5" s="23" t="s">
        <v>97</v>
      </c>
    </row>
    <row r="6" customFormat="false" ht="15" hidden="false" customHeight="false" outlineLevel="0" collapsed="false">
      <c r="A6" s="24" t="s">
        <v>98</v>
      </c>
      <c r="B6" s="39" t="n">
        <f aca="false">Inputs!B34</f>
        <v>1.894</v>
      </c>
      <c r="C6" s="39" t="n">
        <f aca="false">Inputs!B24</f>
        <v>1</v>
      </c>
      <c r="D6" s="39" t="n">
        <f aca="false">B6-C6</f>
        <v>0.894</v>
      </c>
    </row>
    <row r="7" customFormat="false" ht="15" hidden="false" customHeight="false" outlineLevel="0" collapsed="false">
      <c r="A7" s="24" t="s">
        <v>99</v>
      </c>
      <c r="B7" s="50" t="n">
        <f aca="false">Inputs!B40</f>
        <v>10</v>
      </c>
      <c r="C7" s="50" t="n">
        <f aca="false">Inputs!B41</f>
        <v>1</v>
      </c>
      <c r="D7" s="50" t="n">
        <f aca="false">B7-C7</f>
        <v>9</v>
      </c>
    </row>
    <row r="8" customFormat="false" ht="15" hidden="false" customHeight="false" outlineLevel="0" collapsed="false">
      <c r="A8" s="24" t="s">
        <v>100</v>
      </c>
      <c r="B8" s="39" t="n">
        <f aca="false">B7/60*Inputs!$B$21</f>
        <v>6.66666666666667</v>
      </c>
      <c r="C8" s="39" t="n">
        <f aca="false">C7/60*Inputs!$B$21</f>
        <v>0.666666666666667</v>
      </c>
      <c r="D8" s="39" t="n">
        <f aca="false">B8-C8</f>
        <v>6</v>
      </c>
    </row>
    <row r="9" customFormat="false" ht="15" hidden="false" customHeight="false" outlineLevel="0" collapsed="false">
      <c r="A9" s="3" t="s">
        <v>101</v>
      </c>
      <c r="B9" s="46" t="n">
        <f aca="false">B6+B8</f>
        <v>8.56066666666667</v>
      </c>
      <c r="C9" s="46" t="n">
        <f aca="false">C6+C8</f>
        <v>1.66666666666667</v>
      </c>
      <c r="D9" s="46" t="n">
        <f aca="false">D6+D8</f>
        <v>6.894</v>
      </c>
    </row>
    <row r="10" customFormat="false" ht="15" hidden="false" customHeight="false" outlineLevel="0" collapsed="false">
      <c r="A10" s="24" t="s">
        <v>102</v>
      </c>
      <c r="D10" s="40" t="n">
        <f aca="false">IF(D9&lt;&gt;0,D8/D9,0)</f>
        <v>0.870322019147084</v>
      </c>
    </row>
    <row r="12" customFormat="false" ht="15" hidden="false" customHeight="false" outlineLevel="0" collapsed="false">
      <c r="A12" s="20" t="s">
        <v>103</v>
      </c>
      <c r="B12" s="21"/>
      <c r="C12" s="21"/>
      <c r="D12" s="21"/>
      <c r="E12" s="21"/>
      <c r="F12" s="21"/>
      <c r="G12" s="21"/>
    </row>
    <row r="13" customFormat="false" ht="15" hidden="false" customHeight="false" outlineLevel="0" collapsed="false">
      <c r="B13" s="23" t="s">
        <v>15</v>
      </c>
      <c r="C13" s="23" t="s">
        <v>16</v>
      </c>
      <c r="D13" s="23" t="s">
        <v>17</v>
      </c>
      <c r="E13" s="23" t="s">
        <v>18</v>
      </c>
      <c r="F13" s="23" t="s">
        <v>19</v>
      </c>
      <c r="G13" s="23" t="s">
        <v>20</v>
      </c>
    </row>
    <row r="14" customFormat="false" ht="15" hidden="false" customHeight="false" outlineLevel="0" collapsed="false">
      <c r="A14" s="24" t="s">
        <v>104</v>
      </c>
      <c r="B14" s="51" t="n">
        <v>1</v>
      </c>
      <c r="C14" s="51" t="n">
        <v>2</v>
      </c>
      <c r="D14" s="51" t="n">
        <v>3</v>
      </c>
      <c r="E14" s="51" t="n">
        <v>4</v>
      </c>
      <c r="F14" s="51" t="n">
        <v>5</v>
      </c>
    </row>
    <row r="15" customFormat="false" ht="15" hidden="false" customHeight="false" outlineLevel="0" collapsed="false">
      <c r="A15" s="24" t="s">
        <v>105</v>
      </c>
      <c r="B15" s="52" t="n">
        <f aca="false">Inputs!$B$22*12</f>
        <v>360</v>
      </c>
      <c r="C15" s="52" t="n">
        <f aca="false">Inputs!$B$22*12</f>
        <v>360</v>
      </c>
      <c r="D15" s="52" t="n">
        <f aca="false">Inputs!$B$22*12</f>
        <v>360</v>
      </c>
      <c r="E15" s="52" t="n">
        <f aca="false">Inputs!$B$22*12</f>
        <v>360</v>
      </c>
      <c r="F15" s="52" t="n">
        <f aca="false">Inputs!$B$22*12</f>
        <v>360</v>
      </c>
      <c r="G15" s="52" t="n">
        <f aca="false">SUM(B15:F15)</f>
        <v>1800</v>
      </c>
    </row>
    <row r="16" customFormat="false" ht="15" hidden="false" customHeight="false" outlineLevel="0" collapsed="false">
      <c r="A16" s="24" t="s">
        <v>106</v>
      </c>
      <c r="B16" s="53" t="n">
        <f aca="false">Inputs!B45</f>
        <v>1</v>
      </c>
      <c r="C16" s="53" t="n">
        <f aca="false">Inputs!B46</f>
        <v>1</v>
      </c>
      <c r="D16" s="53" t="n">
        <f aca="false">Inputs!B47</f>
        <v>1</v>
      </c>
      <c r="E16" s="53" t="n">
        <f aca="false">Inputs!B48</f>
        <v>1</v>
      </c>
      <c r="F16" s="53" t="n">
        <f aca="false">Inputs!B49</f>
        <v>1</v>
      </c>
    </row>
    <row r="17" customFormat="false" ht="15" hidden="false" customHeight="false" outlineLevel="0" collapsed="false">
      <c r="A17" s="24" t="s">
        <v>107</v>
      </c>
      <c r="B17" s="52" t="n">
        <f aca="false">B15*B16</f>
        <v>360</v>
      </c>
      <c r="C17" s="52" t="n">
        <f aca="false">C15*C16</f>
        <v>360</v>
      </c>
      <c r="D17" s="52" t="n">
        <f aca="false">D15*D16</f>
        <v>360</v>
      </c>
      <c r="E17" s="52" t="n">
        <f aca="false">E15*E16</f>
        <v>360</v>
      </c>
      <c r="F17" s="52" t="n">
        <f aca="false">F15*F16</f>
        <v>360</v>
      </c>
      <c r="G17" s="52" t="n">
        <f aca="false">SUM(B17:F17)</f>
        <v>1800</v>
      </c>
    </row>
    <row r="18" customFormat="false" ht="15" hidden="false" customHeight="false" outlineLevel="0" collapsed="false">
      <c r="A18" s="24" t="s">
        <v>108</v>
      </c>
      <c r="B18" s="39" t="n">
        <f aca="false">Inputs!$B$21*(1+Inputs!$B$50)^(B14-1)</f>
        <v>40</v>
      </c>
      <c r="C18" s="39" t="n">
        <f aca="false">Inputs!$B$21*(1+Inputs!$B$50)^(C14-1)</f>
        <v>40</v>
      </c>
      <c r="D18" s="39" t="n">
        <f aca="false">Inputs!$B$21*(1+Inputs!$B$50)^(D14-1)</f>
        <v>40</v>
      </c>
      <c r="E18" s="39" t="n">
        <f aca="false">Inputs!$B$21*(1+Inputs!$B$50)^(E14-1)</f>
        <v>40</v>
      </c>
      <c r="F18" s="39" t="n">
        <f aca="false">Inputs!$B$21*(1+Inputs!$B$50)^(F14-1)</f>
        <v>40</v>
      </c>
    </row>
    <row r="20" customFormat="false" ht="15" hidden="false" customHeight="false" outlineLevel="0" collapsed="false">
      <c r="A20" s="24" t="s">
        <v>109</v>
      </c>
      <c r="B20" s="25" t="n">
        <f aca="false">B15*(Inputs!$B$34+Inputs!$B$40/60*B18)</f>
        <v>3081.84</v>
      </c>
      <c r="C20" s="25" t="n">
        <f aca="false">C15*(Inputs!$B$34+Inputs!$B$40/60*C18)</f>
        <v>3081.84</v>
      </c>
      <c r="D20" s="25" t="n">
        <f aca="false">D15*(Inputs!$B$34+Inputs!$B$40/60*D18)</f>
        <v>3081.84</v>
      </c>
      <c r="E20" s="25" t="n">
        <f aca="false">E15*(Inputs!$B$34+Inputs!$B$40/60*E18)</f>
        <v>3081.84</v>
      </c>
      <c r="F20" s="25" t="n">
        <f aca="false">F15*(Inputs!$B$34+Inputs!$B$40/60*F18)</f>
        <v>3081.84</v>
      </c>
      <c r="G20" s="25" t="n">
        <f aca="false">SUM(B20:F20)</f>
        <v>15409.2</v>
      </c>
    </row>
    <row r="21" customFormat="false" ht="15" hidden="false" customHeight="false" outlineLevel="0" collapsed="false">
      <c r="A21" s="24" t="s">
        <v>110</v>
      </c>
      <c r="B21" s="25" t="n">
        <f aca="false">(B15-B17)*(Inputs!$B$34+Inputs!$B$40/60*B18)+B17*(Inputs!$B$24+Inputs!$B$41/60*B18)</f>
        <v>600</v>
      </c>
      <c r="C21" s="25" t="n">
        <f aca="false">(C15-C17)*(Inputs!$B$34+Inputs!$B$40/60*C18)+C17*(Inputs!$B$24+Inputs!$B$41/60*C18)</f>
        <v>600</v>
      </c>
      <c r="D21" s="25" t="n">
        <f aca="false">(D15-D17)*(Inputs!$B$34+Inputs!$B$40/60*D18)+D17*(Inputs!$B$24+Inputs!$B$41/60*D18)</f>
        <v>600</v>
      </c>
      <c r="E21" s="25" t="n">
        <f aca="false">(E15-E17)*(Inputs!$B$34+Inputs!$B$40/60*E18)+E17*(Inputs!$B$24+Inputs!$B$41/60*E18)</f>
        <v>600</v>
      </c>
      <c r="F21" s="25" t="n">
        <f aca="false">(F15-F17)*(Inputs!$B$34+Inputs!$B$40/60*F18)+F17*(Inputs!$B$24+Inputs!$B$41/60*F18)</f>
        <v>600</v>
      </c>
      <c r="G21" s="25" t="n">
        <f aca="false">SUM(B21:F21)</f>
        <v>3000</v>
      </c>
    </row>
    <row r="22" customFormat="false" ht="15" hidden="false" customHeight="false" outlineLevel="0" collapsed="false">
      <c r="A22" s="54" t="s">
        <v>111</v>
      </c>
      <c r="B22" s="55" t="n">
        <f aca="false">B20-B21</f>
        <v>2481.84</v>
      </c>
      <c r="C22" s="55" t="n">
        <f aca="false">C20-C21</f>
        <v>2481.84</v>
      </c>
      <c r="D22" s="55" t="n">
        <f aca="false">D20-D21</f>
        <v>2481.84</v>
      </c>
      <c r="E22" s="55" t="n">
        <f aca="false">E20-E21</f>
        <v>2481.84</v>
      </c>
      <c r="F22" s="55" t="n">
        <f aca="false">F20-F21</f>
        <v>2481.84</v>
      </c>
      <c r="G22" s="55" t="n">
        <f aca="false">SUM(B22:F22)</f>
        <v>12409.2</v>
      </c>
    </row>
    <row r="23" customFormat="false" ht="15" hidden="false" customHeight="false" outlineLevel="0" collapsed="false">
      <c r="A23" s="24" t="s">
        <v>112</v>
      </c>
      <c r="B23" s="25" t="n">
        <f aca="false">B17*(Inputs!$B$34-Inputs!$B$24)</f>
        <v>321.84</v>
      </c>
      <c r="C23" s="25" t="n">
        <f aca="false">C17*(Inputs!$B$34-Inputs!$B$24)</f>
        <v>321.84</v>
      </c>
      <c r="D23" s="25" t="n">
        <f aca="false">D17*(Inputs!$B$34-Inputs!$B$24)</f>
        <v>321.84</v>
      </c>
      <c r="E23" s="25" t="n">
        <f aca="false">E17*(Inputs!$B$34-Inputs!$B$24)</f>
        <v>321.84</v>
      </c>
      <c r="F23" s="25" t="n">
        <f aca="false">F17*(Inputs!$B$34-Inputs!$B$24)</f>
        <v>321.84</v>
      </c>
      <c r="G23" s="25" t="n">
        <f aca="false">SUM(B23:F23)</f>
        <v>1609.2</v>
      </c>
    </row>
    <row r="24" customFormat="false" ht="15" hidden="false" customHeight="false" outlineLevel="0" collapsed="false">
      <c r="A24" s="24" t="s">
        <v>113</v>
      </c>
      <c r="B24" s="25" t="n">
        <f aca="false">B17*(Inputs!$B$40-Inputs!$B$41)/60*B18</f>
        <v>2160</v>
      </c>
      <c r="C24" s="25" t="n">
        <f aca="false">C17*(Inputs!$B$40-Inputs!$B$41)/60*C18</f>
        <v>2160</v>
      </c>
      <c r="D24" s="25" t="n">
        <f aca="false">D17*(Inputs!$B$40-Inputs!$B$41)/60*D18</f>
        <v>2160</v>
      </c>
      <c r="E24" s="25" t="n">
        <f aca="false">E17*(Inputs!$B$40-Inputs!$B$41)/60*E18</f>
        <v>2160</v>
      </c>
      <c r="F24" s="25" t="n">
        <f aca="false">F17*(Inputs!$B$40-Inputs!$B$41)/60*F18</f>
        <v>2160</v>
      </c>
      <c r="G24" s="25" t="n">
        <f aca="false">SUM(B24:F24)</f>
        <v>10800</v>
      </c>
    </row>
    <row r="25" customFormat="false" ht="15" hidden="false" customHeight="false" outlineLevel="0" collapsed="false">
      <c r="A25" s="24" t="s">
        <v>11</v>
      </c>
      <c r="B25" s="52" t="n">
        <f aca="false">B17*(Inputs!$B$40-Inputs!$B$41)/60</f>
        <v>54</v>
      </c>
      <c r="C25" s="52" t="n">
        <f aca="false">C17*(Inputs!$B$40-Inputs!$B$41)/60</f>
        <v>54</v>
      </c>
      <c r="D25" s="52" t="n">
        <f aca="false">D17*(Inputs!$B$40-Inputs!$B$41)/60</f>
        <v>54</v>
      </c>
      <c r="E25" s="52" t="n">
        <f aca="false">E17*(Inputs!$B$40-Inputs!$B$41)/60</f>
        <v>54</v>
      </c>
      <c r="F25" s="52" t="n">
        <f aca="false">F17*(Inputs!$B$40-Inputs!$B$41)/60</f>
        <v>54</v>
      </c>
      <c r="G25" s="52" t="n">
        <f aca="false">SUM(B25:F25)</f>
        <v>270</v>
      </c>
    </row>
    <row r="27" customFormat="false" ht="15" hidden="false" customHeight="false" outlineLevel="0" collapsed="false">
      <c r="A27" s="56" t="s">
        <v>114</v>
      </c>
    </row>
    <row r="28" customFormat="false" ht="15" hidden="false" customHeight="false" outlineLevel="0" collapsed="false">
      <c r="A28" s="24" t="s">
        <v>115</v>
      </c>
      <c r="B28" s="25" t="n">
        <f aca="false">Inputs!$B$15</f>
        <v>1750</v>
      </c>
      <c r="C28" s="25" t="n">
        <v>0</v>
      </c>
      <c r="D28" s="25" t="n">
        <v>0</v>
      </c>
      <c r="E28" s="25" t="n">
        <v>0</v>
      </c>
      <c r="F28" s="25" t="n">
        <v>0</v>
      </c>
      <c r="G28" s="25" t="n">
        <f aca="false">SUM(B28:F28)</f>
        <v>1750</v>
      </c>
    </row>
    <row r="29" customFormat="false" ht="15" hidden="false" customHeight="false" outlineLevel="0" collapsed="false">
      <c r="A29" s="24" t="s">
        <v>116</v>
      </c>
      <c r="B29" s="25" t="n">
        <f aca="false">Inputs!$B$17</f>
        <v>367.5</v>
      </c>
      <c r="C29" s="25" t="n">
        <f aca="false">Inputs!$B$17*(1+Inputs!$B$51)^(C14-1)</f>
        <v>367.5</v>
      </c>
      <c r="D29" s="25" t="n">
        <f aca="false">Inputs!$B$17*(1+Inputs!$B$51)^(D14-1)</f>
        <v>367.5</v>
      </c>
      <c r="E29" s="25" t="n">
        <f aca="false">Inputs!$B$17*(1+Inputs!$B$51)^(E14-1)</f>
        <v>367.5</v>
      </c>
      <c r="F29" s="25" t="n">
        <f aca="false">Inputs!$B$17*(1+Inputs!$B$51)^(F14-1)</f>
        <v>367.5</v>
      </c>
      <c r="G29" s="25" t="n">
        <f aca="false">SUM(B29:F29)</f>
        <v>1837.5</v>
      </c>
    </row>
    <row r="30" customFormat="false" ht="15" hidden="false" customHeight="false" outlineLevel="0" collapsed="false">
      <c r="A30" s="24" t="s">
        <v>117</v>
      </c>
      <c r="B30" s="25" t="n">
        <f aca="false">Inputs!$B$25</f>
        <v>0</v>
      </c>
      <c r="C30" s="25" t="n">
        <v>0</v>
      </c>
      <c r="D30" s="25" t="n">
        <v>0</v>
      </c>
      <c r="E30" s="25" t="n">
        <v>0</v>
      </c>
      <c r="F30" s="25" t="n">
        <v>0</v>
      </c>
      <c r="G30" s="25" t="n">
        <f aca="false">SUM(B30:F30)</f>
        <v>0</v>
      </c>
    </row>
    <row r="31" customFormat="false" ht="15" hidden="false" customHeight="false" outlineLevel="0" collapsed="false">
      <c r="A31" s="24" t="s">
        <v>118</v>
      </c>
      <c r="B31" s="57" t="n">
        <f aca="false">SUM(B28:B30)</f>
        <v>2117.5</v>
      </c>
      <c r="C31" s="57" t="n">
        <f aca="false">SUM(C28:C30)</f>
        <v>367.5</v>
      </c>
      <c r="D31" s="57" t="n">
        <f aca="false">SUM(D28:D30)</f>
        <v>367.5</v>
      </c>
      <c r="E31" s="57" t="n">
        <f aca="false">SUM(E28:E30)</f>
        <v>367.5</v>
      </c>
      <c r="F31" s="57" t="n">
        <f aca="false">SUM(F28:F30)</f>
        <v>367.5</v>
      </c>
      <c r="G31" s="57" t="n">
        <f aca="false">SUM(B31:F31)</f>
        <v>3587.5</v>
      </c>
    </row>
    <row r="32" customFormat="false" ht="15" hidden="false" customHeight="false" outlineLevel="0" collapsed="false">
      <c r="A32" s="54" t="s">
        <v>119</v>
      </c>
      <c r="B32" s="55" t="n">
        <f aca="false">B22-B31</f>
        <v>364.34</v>
      </c>
      <c r="C32" s="55" t="n">
        <f aca="false">C22-C31</f>
        <v>2114.34</v>
      </c>
      <c r="D32" s="55" t="n">
        <f aca="false">D22-D31</f>
        <v>2114.34</v>
      </c>
      <c r="E32" s="55" t="n">
        <f aca="false">E22-E31</f>
        <v>2114.34</v>
      </c>
      <c r="F32" s="55" t="n">
        <f aca="false">F22-F31</f>
        <v>2114.34</v>
      </c>
      <c r="G32" s="55" t="n">
        <f aca="false">SUM(B32:F32)</f>
        <v>8821.7</v>
      </c>
    </row>
    <row r="33" customFormat="false" ht="15" hidden="false" customHeight="false" outlineLevel="0" collapsed="false">
      <c r="A33" s="24" t="s">
        <v>120</v>
      </c>
      <c r="B33" s="25" t="n">
        <f aca="false">B32</f>
        <v>364.34</v>
      </c>
      <c r="C33" s="25" t="n">
        <f aca="false">B33+C32</f>
        <v>2478.68</v>
      </c>
      <c r="D33" s="25" t="n">
        <f aca="false">C33+D32</f>
        <v>4593.02</v>
      </c>
      <c r="E33" s="25" t="n">
        <f aca="false">D33+E32</f>
        <v>6707.36</v>
      </c>
      <c r="F33" s="25" t="n">
        <f aca="false">E33+F32</f>
        <v>8821.7</v>
      </c>
    </row>
    <row r="34" customFormat="false" ht="15" hidden="false" customHeight="false" outlineLevel="0" collapsed="false">
      <c r="A34" s="24" t="s">
        <v>121</v>
      </c>
      <c r="B34" s="58" t="n">
        <f aca="false">IF(B33&gt;=0,1,0)</f>
        <v>1</v>
      </c>
      <c r="C34" s="58" t="n">
        <f aca="false">IF(C33&gt;=0,1,0)</f>
        <v>1</v>
      </c>
      <c r="D34" s="58" t="n">
        <f aca="false">IF(D33&gt;=0,1,0)</f>
        <v>1</v>
      </c>
      <c r="E34" s="58" t="n">
        <f aca="false">IF(E33&gt;=0,1,0)</f>
        <v>1</v>
      </c>
      <c r="F34" s="58" t="n">
        <f aca="false">IF(F33&gt;=0,1,0)</f>
        <v>1</v>
      </c>
    </row>
    <row r="35" customFormat="false" ht="15" hidden="false" customHeight="false" outlineLevel="0" collapsed="false">
      <c r="A35" s="56" t="s">
        <v>122</v>
      </c>
    </row>
    <row r="36" customFormat="false" ht="15" hidden="false" customHeight="false" outlineLevel="0" collapsed="false">
      <c r="A36" s="24" t="s">
        <v>123</v>
      </c>
      <c r="B36" s="25" t="n">
        <f aca="false">Inputs!$B$14*(1+Inputs!$B$51)^(B14-1)</f>
        <v>850</v>
      </c>
      <c r="C36" s="25" t="n">
        <f aca="false">Inputs!$B$14*(1+Inputs!$B$51)^(C14-1)</f>
        <v>850</v>
      </c>
      <c r="D36" s="25" t="n">
        <f aca="false">Inputs!$B$14*(1+Inputs!$B$51)^(D14-1)</f>
        <v>850</v>
      </c>
      <c r="E36" s="25" t="n">
        <f aca="false">Inputs!$B$14*(1+Inputs!$B$51)^(E14-1)</f>
        <v>850</v>
      </c>
      <c r="F36" s="25" t="n">
        <f aca="false">Inputs!$B$14*(1+Inputs!$B$51)^(F14-1)</f>
        <v>850</v>
      </c>
      <c r="G36" s="25" t="n">
        <f aca="false">SUM(B36:F36)</f>
        <v>4250</v>
      </c>
    </row>
    <row r="37" customFormat="false" ht="15" hidden="false" customHeight="false" outlineLevel="0" collapsed="false">
      <c r="A37" s="24" t="s">
        <v>117</v>
      </c>
      <c r="B37" s="25" t="n">
        <f aca="false">Inputs!$B$25</f>
        <v>0</v>
      </c>
      <c r="C37" s="25" t="n">
        <v>0</v>
      </c>
      <c r="D37" s="25" t="n">
        <v>0</v>
      </c>
      <c r="E37" s="25" t="n">
        <v>0</v>
      </c>
      <c r="F37" s="25" t="n">
        <v>0</v>
      </c>
      <c r="G37" s="25" t="n">
        <f aca="false">SUM(B37:F37)</f>
        <v>0</v>
      </c>
    </row>
    <row r="38" customFormat="false" ht="15" hidden="false" customHeight="false" outlineLevel="0" collapsed="false">
      <c r="A38" s="24" t="s">
        <v>118</v>
      </c>
      <c r="B38" s="57" t="n">
        <f aca="false">SUM(B36:B37)</f>
        <v>850</v>
      </c>
      <c r="C38" s="57" t="n">
        <f aca="false">SUM(C36:C37)</f>
        <v>850</v>
      </c>
      <c r="D38" s="57" t="n">
        <f aca="false">SUM(D36:D37)</f>
        <v>850</v>
      </c>
      <c r="E38" s="57" t="n">
        <f aca="false">SUM(E36:E37)</f>
        <v>850</v>
      </c>
      <c r="F38" s="57" t="n">
        <f aca="false">SUM(F36:F37)</f>
        <v>850</v>
      </c>
      <c r="G38" s="57" t="n">
        <f aca="false">SUM(B38:F38)</f>
        <v>4250</v>
      </c>
    </row>
    <row r="39" customFormat="false" ht="15" hidden="false" customHeight="false" outlineLevel="0" collapsed="false">
      <c r="A39" s="54" t="s">
        <v>119</v>
      </c>
      <c r="B39" s="55" t="n">
        <f aca="false">B22-B38</f>
        <v>1631.84</v>
      </c>
      <c r="C39" s="55" t="n">
        <f aca="false">C22-C38</f>
        <v>1631.84</v>
      </c>
      <c r="D39" s="55" t="n">
        <f aca="false">D22-D38</f>
        <v>1631.84</v>
      </c>
      <c r="E39" s="55" t="n">
        <f aca="false">E22-E38</f>
        <v>1631.84</v>
      </c>
      <c r="F39" s="55" t="n">
        <f aca="false">F22-F38</f>
        <v>1631.84</v>
      </c>
      <c r="G39" s="55" t="n">
        <f aca="false">SUM(B39:F39)</f>
        <v>8159.2</v>
      </c>
    </row>
    <row r="40" customFormat="false" ht="15" hidden="false" customHeight="false" outlineLevel="0" collapsed="false">
      <c r="A40" s="24" t="s">
        <v>120</v>
      </c>
      <c r="B40" s="25" t="n">
        <f aca="false">B39</f>
        <v>1631.84</v>
      </c>
      <c r="C40" s="25" t="n">
        <f aca="false">B40+C39</f>
        <v>3263.68</v>
      </c>
      <c r="D40" s="25" t="n">
        <f aca="false">C40+D39</f>
        <v>4895.52</v>
      </c>
      <c r="E40" s="25" t="n">
        <f aca="false">D40+E39</f>
        <v>6527.36</v>
      </c>
      <c r="F40" s="25" t="n">
        <f aca="false">E40+F39</f>
        <v>8159.2</v>
      </c>
    </row>
    <row r="42" customFormat="false" ht="15" hidden="false" customHeight="false" outlineLevel="0" collapsed="false">
      <c r="A42" s="56" t="s">
        <v>124</v>
      </c>
    </row>
    <row r="43" customFormat="false" ht="15" hidden="false" customHeight="false" outlineLevel="0" collapsed="false">
      <c r="A43" s="24" t="s">
        <v>125</v>
      </c>
      <c r="B43" s="25" t="n">
        <f aca="false">B31</f>
        <v>2117.5</v>
      </c>
      <c r="C43" s="25" t="n">
        <f aca="false">B43+C31</f>
        <v>2485</v>
      </c>
      <c r="D43" s="25" t="n">
        <f aca="false">C43+D31</f>
        <v>2852.5</v>
      </c>
      <c r="E43" s="25" t="n">
        <f aca="false">D43+E31</f>
        <v>3220</v>
      </c>
      <c r="F43" s="25" t="n">
        <f aca="false">E43+F31</f>
        <v>3587.5</v>
      </c>
    </row>
    <row r="44" customFormat="false" ht="15" hidden="false" customHeight="false" outlineLevel="0" collapsed="false">
      <c r="A44" s="24" t="s">
        <v>126</v>
      </c>
      <c r="B44" s="25" t="n">
        <f aca="false">B38</f>
        <v>850</v>
      </c>
      <c r="C44" s="25" t="n">
        <f aca="false">B44+C38</f>
        <v>1700</v>
      </c>
      <c r="D44" s="25" t="n">
        <f aca="false">C44+D38</f>
        <v>2550</v>
      </c>
      <c r="E44" s="25" t="n">
        <f aca="false">D44+E38</f>
        <v>3400</v>
      </c>
      <c r="F44" s="25" t="n">
        <f aca="false">E44+F38</f>
        <v>4250</v>
      </c>
    </row>
    <row r="45" customFormat="false" ht="15" hidden="false" customHeight="false" outlineLevel="0" collapsed="false">
      <c r="A45" s="24" t="s">
        <v>127</v>
      </c>
      <c r="B45" s="51" t="n">
        <f aca="false">IF(B43&lt;=B44,1,0)</f>
        <v>0</v>
      </c>
      <c r="C45" s="51" t="n">
        <f aca="false">IF(C43&lt;=C44,1,0)</f>
        <v>0</v>
      </c>
      <c r="D45" s="51" t="n">
        <f aca="false">IF(D43&lt;=D44,1,0)</f>
        <v>0</v>
      </c>
      <c r="E45" s="51" t="n">
        <f aca="false">IF(E43&lt;=E44,1,0)</f>
        <v>1</v>
      </c>
      <c r="F45" s="51" t="n">
        <f aca="false">IF(F43&lt;=F44,1,0)</f>
        <v>1</v>
      </c>
    </row>
    <row r="47" customFormat="false" ht="15" hidden="false" customHeight="false" outlineLevel="0" collapsed="false">
      <c r="A47" s="20" t="s">
        <v>128</v>
      </c>
      <c r="B47" s="21"/>
      <c r="C47" s="21"/>
      <c r="D47" s="21"/>
      <c r="E47" s="21"/>
      <c r="F47" s="21"/>
      <c r="G47" s="21"/>
    </row>
    <row r="48" customFormat="false" ht="15" hidden="false" customHeight="false" outlineLevel="0" collapsed="false">
      <c r="A48" s="24" t="s">
        <v>129</v>
      </c>
      <c r="B48" s="59" t="n">
        <f aca="false">G32</f>
        <v>8821.7</v>
      </c>
    </row>
    <row r="49" customFormat="false" ht="15" hidden="false" customHeight="false" outlineLevel="0" collapsed="false">
      <c r="A49" s="24" t="s">
        <v>130</v>
      </c>
      <c r="B49" s="59" t="n">
        <f aca="false">G39</f>
        <v>8159.2</v>
      </c>
    </row>
    <row r="50" customFormat="false" ht="15" hidden="false" customHeight="false" outlineLevel="0" collapsed="false">
      <c r="A50" s="24" t="s">
        <v>131</v>
      </c>
      <c r="B50" s="60" t="str">
        <f aca="false">IF(G32&gt;=G39,"Perpetual licence","Annual subscription")</f>
        <v>Perpetual licence</v>
      </c>
    </row>
    <row r="51" customFormat="false" ht="15" hidden="false" customHeight="false" outlineLevel="0" collapsed="false">
      <c r="A51" s="24" t="s">
        <v>132</v>
      </c>
      <c r="B51" s="60" t="str">
        <f aca="false">IFERROR("Year "&amp;MATCH(1,B45:F45,0),"Not within 5 years")</f>
        <v>Year 4</v>
      </c>
    </row>
    <row r="52" customFormat="false" ht="15" hidden="false" customHeight="false" outlineLevel="0" collapsed="false">
      <c r="A52" s="24" t="s">
        <v>133</v>
      </c>
      <c r="B52" s="59" t="n">
        <f aca="false">B22/12</f>
        <v>206.82</v>
      </c>
    </row>
    <row r="53" customFormat="false" ht="15" hidden="false" customHeight="false" outlineLevel="0" collapsed="false">
      <c r="A53" s="24" t="s">
        <v>134</v>
      </c>
      <c r="B53" s="61" t="n">
        <f aca="false">IFERROR(12*(MATCH(1,B34:F34,0)-1)+12*(INDEX(B31:F31,MATCH(1,B34:F34,0))-(MATCH(1,B34:F34,0)&gt;1)*INDEX(B33:F33,MAX(1,MATCH(1,B34:F34,0)-1)))/INDEX(B22:F22,MATCH(1,B34:F34,0)),"Beyond 5 years")</f>
        <v>10.2383715307997</v>
      </c>
    </row>
    <row r="54" customFormat="false" ht="15" hidden="false" customHeight="false" outlineLevel="0" collapsed="false">
      <c r="A54" s="24" t="s">
        <v>135</v>
      </c>
      <c r="B54" s="61" t="n">
        <f aca="false">IF(B52&gt;B36/12,IF(B37&gt;0,B37/(B52-B36/12),0),"No payback")</f>
        <v>0</v>
      </c>
      <c r="C54" s="6" t="s">
        <v>136</v>
      </c>
    </row>
    <row r="55" customFormat="false" ht="15" hidden="false" customHeight="false" outlineLevel="0" collapsed="false">
      <c r="A55" s="24" t="s">
        <v>137</v>
      </c>
      <c r="B55" s="59" t="n">
        <f aca="false">B52-B36/12</f>
        <v>135.986666666667</v>
      </c>
    </row>
    <row r="56" customFormat="false" ht="15" hidden="false" customHeight="false" outlineLevel="0" collapsed="false">
      <c r="A56" s="24" t="s">
        <v>138</v>
      </c>
      <c r="B56" s="62" t="n">
        <f aca="false">IF(G31&gt;0,G32/G31,0)</f>
        <v>2.45901045296167</v>
      </c>
    </row>
    <row r="57" customFormat="false" ht="15" hidden="false" customHeight="false" outlineLevel="0" collapsed="false">
      <c r="A57" s="24" t="s">
        <v>139</v>
      </c>
      <c r="B57" s="62" t="n">
        <f aca="false">IF(G38&gt;0,G39/G38,0)</f>
        <v>1.91981176470588</v>
      </c>
    </row>
    <row r="58" customFormat="false" ht="15" hidden="false" customHeight="false" outlineLevel="0" collapsed="false">
      <c r="A58" s="24" t="s">
        <v>140</v>
      </c>
      <c r="B58" s="63" t="n">
        <f aca="false">B25</f>
        <v>54</v>
      </c>
    </row>
    <row r="59" customFormat="false" ht="15" hidden="false" customHeight="false" outlineLevel="0" collapsed="false">
      <c r="A59" s="24" t="s">
        <v>141</v>
      </c>
      <c r="B59" s="61" t="n">
        <f aca="false">IF(D9&gt;0,B36/12/D9,"Never")</f>
        <v>10.2746349482642</v>
      </c>
      <c r="C59" s="6" t="s">
        <v>142</v>
      </c>
    </row>
    <row r="60" customFormat="false" ht="15" hidden="false" customHeight="false" outlineLevel="0" collapsed="false">
      <c r="A60" s="24" t="s">
        <v>143</v>
      </c>
      <c r="B60" s="61" t="n">
        <f aca="false">IF(D6&gt;0,B36/12/D6,"Never on cash alone")</f>
        <v>79.2319164802386</v>
      </c>
    </row>
    <row r="61" customFormat="false" ht="15" hidden="false" customHeight="false" outlineLevel="0" collapsed="false">
      <c r="A61" s="24" t="s">
        <v>144</v>
      </c>
      <c r="B61" s="61" t="n">
        <f aca="false">IF(D9&gt;0,G31/60/D9,"Never")</f>
        <v>8.67300067691713</v>
      </c>
    </row>
  </sheetData>
  <sheetProtection sheet="true"/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3A84F"/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6"/>
    <col collapsed="false" customWidth="true" hidden="false" outlineLevel="0" max="5" min="5" style="0" width="14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34" t="s">
        <v>145</v>
      </c>
    </row>
    <row r="2" customFormat="false" ht="15" hidden="false" customHeight="false" outlineLevel="0" collapsed="false">
      <c r="A2" s="6" t="s">
        <v>146</v>
      </c>
    </row>
    <row r="4" customFormat="false" ht="15" hidden="false" customHeight="false" outlineLevel="0" collapsed="false">
      <c r="A4" s="20" t="s">
        <v>147</v>
      </c>
      <c r="B4" s="21"/>
      <c r="C4" s="21"/>
      <c r="D4" s="21"/>
      <c r="E4" s="21"/>
      <c r="F4" s="21"/>
    </row>
    <row r="5" customFormat="false" ht="42" hidden="false" customHeight="true" outlineLevel="0" collapsed="false">
      <c r="A5" s="64" t="s">
        <v>4</v>
      </c>
      <c r="B5" s="64" t="s">
        <v>56</v>
      </c>
      <c r="C5" s="64" t="s">
        <v>57</v>
      </c>
      <c r="D5" s="64" t="s">
        <v>148</v>
      </c>
      <c r="E5" s="64" t="s">
        <v>55</v>
      </c>
      <c r="F5" s="64" t="s">
        <v>149</v>
      </c>
    </row>
    <row r="6" customFormat="false" ht="15" hidden="false" customHeight="false" outlineLevel="0" collapsed="false">
      <c r="A6" s="65" t="s">
        <v>53</v>
      </c>
      <c r="B6" s="66" t="n">
        <v>850</v>
      </c>
      <c r="C6" s="66" t="n">
        <v>1750</v>
      </c>
      <c r="D6" s="49" t="n">
        <v>0.21</v>
      </c>
      <c r="E6" s="67" t="s">
        <v>150</v>
      </c>
      <c r="F6" s="68" t="s">
        <v>151</v>
      </c>
    </row>
    <row r="7" customFormat="false" ht="25.5" hidden="false" customHeight="true" outlineLevel="0" collapsed="false">
      <c r="A7" s="65" t="s">
        <v>152</v>
      </c>
      <c r="B7" s="66" t="n">
        <v>850</v>
      </c>
      <c r="C7" s="66" t="n">
        <v>1750</v>
      </c>
      <c r="D7" s="49" t="n">
        <v>0.21</v>
      </c>
      <c r="E7" s="67" t="s">
        <v>153</v>
      </c>
      <c r="F7" s="68" t="s">
        <v>154</v>
      </c>
    </row>
    <row r="8" customFormat="false" ht="15" hidden="false" customHeight="false" outlineLevel="0" collapsed="false">
      <c r="A8" s="69" t="s">
        <v>155</v>
      </c>
      <c r="B8" s="70"/>
      <c r="C8" s="70"/>
      <c r="D8" s="70"/>
      <c r="E8" s="70"/>
      <c r="F8" s="70"/>
    </row>
    <row r="9" customFormat="false" ht="15" hidden="false" customHeight="false" outlineLevel="0" collapsed="false">
      <c r="A9" s="70"/>
      <c r="B9" s="70"/>
      <c r="C9" s="70"/>
      <c r="D9" s="70"/>
      <c r="E9" s="70"/>
      <c r="F9" s="70"/>
    </row>
    <row r="10" customFormat="false" ht="15" hidden="false" customHeight="false" outlineLevel="0" collapsed="false">
      <c r="A10" s="71" t="s">
        <v>156</v>
      </c>
      <c r="B10" s="72"/>
      <c r="C10" s="72"/>
      <c r="D10" s="72"/>
      <c r="E10" s="72"/>
      <c r="F10" s="72"/>
    </row>
    <row r="11" customFormat="false" ht="15" hidden="false" customHeight="false" outlineLevel="0" collapsed="false">
      <c r="A11" s="73" t="s">
        <v>157</v>
      </c>
      <c r="B11" s="73" t="s">
        <v>158</v>
      </c>
      <c r="C11" s="73" t="s">
        <v>159</v>
      </c>
      <c r="D11" s="73" t="s">
        <v>160</v>
      </c>
      <c r="E11" s="73" t="s">
        <v>161</v>
      </c>
      <c r="F11" s="73" t="s">
        <v>162</v>
      </c>
    </row>
    <row r="12" customFormat="false" ht="25.5" hidden="false" customHeight="true" outlineLevel="0" collapsed="false">
      <c r="A12" s="65" t="s">
        <v>163</v>
      </c>
      <c r="B12" s="43" t="n">
        <v>500</v>
      </c>
      <c r="C12" s="42" t="n">
        <v>26</v>
      </c>
      <c r="D12" s="74" t="n">
        <f aca="false">IF(B12&gt;0,C12/B12,0)</f>
        <v>0.052</v>
      </c>
      <c r="E12" s="75" t="s">
        <v>164</v>
      </c>
      <c r="F12" s="68" t="s">
        <v>165</v>
      </c>
    </row>
    <row r="13" customFormat="false" ht="25.5" hidden="false" customHeight="true" outlineLevel="0" collapsed="false">
      <c r="A13" s="65" t="s">
        <v>166</v>
      </c>
      <c r="B13" s="43" t="n">
        <v>500</v>
      </c>
      <c r="C13" s="42" t="n">
        <v>6</v>
      </c>
      <c r="D13" s="74" t="n">
        <f aca="false">IF(B13&gt;0,C13/B13,0)</f>
        <v>0.012</v>
      </c>
      <c r="E13" s="75" t="s">
        <v>164</v>
      </c>
      <c r="F13" s="68" t="s">
        <v>165</v>
      </c>
    </row>
    <row r="14" customFormat="false" ht="15" hidden="false" customHeight="false" outlineLevel="0" collapsed="false">
      <c r="A14" s="76" t="s">
        <v>167</v>
      </c>
      <c r="B14" s="70"/>
      <c r="C14" s="70"/>
      <c r="D14" s="77" t="n">
        <f aca="false">D12+D13</f>
        <v>0.064</v>
      </c>
      <c r="E14" s="70"/>
      <c r="F14" s="70"/>
    </row>
    <row r="15" customFormat="false" ht="15" hidden="false" customHeight="false" outlineLevel="0" collapsed="false">
      <c r="A15" s="70"/>
      <c r="B15" s="70"/>
      <c r="C15" s="70"/>
      <c r="D15" s="70"/>
      <c r="E15" s="70"/>
      <c r="F15" s="70"/>
    </row>
    <row r="16" customFormat="false" ht="15" hidden="false" customHeight="false" outlineLevel="0" collapsed="false">
      <c r="A16" s="71" t="s">
        <v>168</v>
      </c>
      <c r="B16" s="72"/>
      <c r="C16" s="72"/>
      <c r="D16" s="72"/>
      <c r="E16" s="72"/>
      <c r="F16" s="72"/>
    </row>
    <row r="17" customFormat="false" ht="39.75" hidden="false" customHeight="true" outlineLevel="0" collapsed="false">
      <c r="A17" s="65" t="s">
        <v>169</v>
      </c>
      <c r="B17" s="42" t="n">
        <v>0.78</v>
      </c>
      <c r="C17" s="70"/>
      <c r="D17" s="70"/>
      <c r="E17" s="70"/>
      <c r="F17" s="68" t="s">
        <v>170</v>
      </c>
    </row>
  </sheetData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2026-10-18T03:13:27Z</dcterms:created>
  <dc:creator>openpyxl</dc:creator>
  <dc:description/>
  <dc:language>en-US</dc:language>
  <cp:lastModifiedBy/>
  <dcterms:modified xsi:type="dcterms:W3CDTF">2026-10-18T03:13:29Z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