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drawings/vmlDrawing2.vml" ContentType="application/vnd.openxmlformats-officedocument.vmlDrawing"/>
  <Override PartName="/xl/charts/chart1.xml" ContentType="application/vnd.openxmlformats-officedocument.drawingml.chart+xml"/>
  <Override PartName="/xl/_rels/workbook.xml.rels" ContentType="application/vnd.openxmlformats-package.relationships+xml"/>
  <Override PartName="/xl/media/image1.png" ContentType="image/png"/>
  <Override PartName="/xl/media/image2.png" ContentType="image/png"/>
  <Override PartName="/xl/comments4.xml" ContentType="application/vnd.openxmlformats-officedocument.spreadsheetml.comments+xml"/>
  <Override PartName="/xl/comments2.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mmary" sheetId="1" state="visible" r:id="rId3"/>
    <sheet name="Inputs" sheetId="2" state="visible" r:id="rId4"/>
    <sheet name="Calculations" sheetId="3" state="visible" r:id="rId5"/>
    <sheet name="Prices" sheetId="4" state="visible" r:id="rId6"/>
  </sheets>
  <definedNames>
    <definedName function="false" hidden="false" localSheetId="2" name="_xlnm.Print_Area" vbProcedure="false">Calculations!$A$1:$G$44</definedName>
    <definedName function="false" hidden="false" localSheetId="1" name="_xlnm.Print_Area" vbProcedure="false">Inputs!$A$1:$D$51</definedName>
    <definedName function="false" hidden="false" localSheetId="3" name="_xlnm.Print_Area" vbProcedure="false">Prices!$A$1:$F$18</definedName>
    <definedName function="false" hidden="false" localSheetId="0" name="_xlnm.Print_Area" vbProcedure="false">Summary!$A$1:$I$57</definedName>
    <definedName function="false" hidden="false" name="PriceCountries" vbProcedure="false">Prices!$A$6:$A$7</definedName>
    <definedName function="false" hidden="false" name="PriceCur" vbProcedure="false">Prices!$D$6:$D$7</definedName>
    <definedName function="false" hidden="false" name="PriceSFTP" vbProcedure="false">Prices!$C$6:$C$7</definedName>
    <definedName function="false" hidden="false" name="PriceSub" vbProcedure="false">Prices!$B$6:$B$7</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B8" authorId="0">
      <text>
        <r>
          <rPr>
            <sz val="10"/>
            <rFont val="Arial"/>
            <family val="2"/>
          </rPr>
          <t xml:space="preserve">Defaults to today. Overwrite with a fixed date if you want the quote date to stay put.</t>
        </r>
      </text>
    </comment>
    <comment ref="B15" authorId="0">
      <text>
        <r>
          <rPr>
            <sz val="10"/>
            <rFont val="Arial"/>
            <family val="2"/>
          </rPr>
          <t xml:space="preserve">SFTP sends EFT payment files to the bank automatically. Select Yes to add the SFTP option cost.</t>
        </r>
      </text>
    </comment>
    <comment ref="B21" authorId="0">
      <text>
        <r>
          <rPr>
            <sz val="10"/>
            <rFont val="Arial"/>
            <family val="2"/>
          </rPr>
          <t xml:space="preserve">Fully loaded hourly cost of the AP staff who prepare payments.</t>
        </r>
      </text>
    </comment>
    <comment ref="B22" authorId="0">
      <text>
        <r>
          <rPr>
            <sz val="10"/>
            <rFont val="Arial"/>
            <family val="2"/>
          </rPr>
          <t xml:space="preserve">Number of vendor payments currently made by check each month.</t>
        </r>
      </text>
    </comment>
    <comment ref="B24" authorId="0">
      <text>
        <r>
          <rPr>
            <sz val="10"/>
            <rFont val="Arial"/>
            <family val="2"/>
          </rPr>
          <t xml:space="preserve">ACH/EFT fees are often lower than check fees. Use the customer's actual bank tariff.</t>
        </r>
      </text>
    </comment>
    <comment ref="B25" authorId="0">
      <text>
        <r>
          <rPr>
            <sz val="10"/>
            <rFont val="Arial"/>
            <family val="2"/>
          </rPr>
          <t xml:space="preserve">Partner implementation, bank enrolment, vendor bank-detail setup and training. Enter the partner quote. Charged in Year 1.</t>
        </r>
      </text>
    </comment>
    <comment ref="B31" authorId="0">
      <text>
        <r>
          <rPr>
            <sz val="10"/>
            <rFont val="Arial"/>
            <family val="2"/>
          </rPr>
          <t xml:space="preserve">Security check stock and MICR toner cost more than plain paper. Enter if known.</t>
        </r>
      </text>
    </comment>
    <comment ref="B32" authorId="0">
      <text>
        <r>
          <rPr>
            <sz val="10"/>
            <rFont val="Arial"/>
            <family val="2"/>
          </rPr>
          <t xml:space="preserve">Positive pay, stop payments, reconciling and chasing uncashed checks, averaged per check. Enter if known.</t>
        </r>
      </text>
    </comment>
    <comment ref="B41" authorId="0">
      <text>
        <r>
          <rPr>
            <sz val="10"/>
            <rFont val="Arial"/>
            <family val="2"/>
          </rPr>
          <t xml:space="preserve">Per-payment share of creating the EFT batch, approval, sending the bank file and emailing the remittance advice.</t>
        </r>
      </text>
    </comment>
    <comment ref="B45" authorId="0">
      <text>
        <r>
          <rPr>
            <sz val="10"/>
            <rFont val="Arial"/>
            <family val="2"/>
          </rPr>
          <t xml:space="preserve">Vendor uptake often builds over several months. Lower Year 1 for a more conservative case.</t>
        </r>
      </text>
    </comment>
    <comment ref="B50" authorId="0">
      <text>
        <r>
          <rPr>
            <sz val="10"/>
            <rFont val="Arial"/>
            <family val="2"/>
          </rPr>
          <t xml:space="preserve">Annual wage inflation. 0% keeps costs flat.</t>
        </r>
      </text>
    </comment>
    <comment ref="B51" authorId="0">
      <text>
        <r>
          <rPr>
            <sz val="10"/>
            <rFont val="Arial"/>
            <family val="2"/>
          </rPr>
          <t xml:space="preserve">Applies to the subscription and an annual SFTP option from Year 2.</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B9" authorId="0">
      <text>
        <r>
          <rPr>
            <sz val="10"/>
            <rFont val="Arial"/>
            <family val="2"/>
          </rPr>
          <t xml:space="preserve">Annual: SFTP is charged every year alongside the subscription. One-off: charged once, in Year 1.</t>
        </r>
      </text>
    </comment>
  </commentList>
</comments>
</file>

<file path=xl/sharedStrings.xml><?xml version="1.0" encoding="utf-8"?>
<sst xmlns="http://schemas.openxmlformats.org/spreadsheetml/2006/main" count="180" uniqueCount="153">
  <si>
    <t xml:space="preserve">Orchid EFT Processing for Sage Intacct</t>
  </si>
  <si>
    <t xml:space="preserve">Accounts Payable: return on investment estimate</t>
  </si>
  <si>
    <t xml:space="preserve">Prepared for</t>
  </si>
  <si>
    <t xml:space="preserve">Prepared by</t>
  </si>
  <si>
    <t xml:space="preserve">Country</t>
  </si>
  <si>
    <t xml:space="preserve">Date</t>
  </si>
  <si>
    <t xml:space="preserve">Go to Inputs tab ›</t>
  </si>
  <si>
    <t xml:space="preserve">How to update this estimate
1.  Open the Inputs tab (use the link above).
2.  Change the yellow cells: customer details, country and whether to include the SFTP option, staff cost, payments per month, bank fees and minutes per payment.
3.  Come back to this page. Every figure and the chart update automatically.</t>
  </si>
  <si>
    <t xml:space="preserve">5-year net saving</t>
  </si>
  <si>
    <t xml:space="preserve">Payback of Year 1 cost</t>
  </si>
  <si>
    <t xml:space="preserve">Saving per payment</t>
  </si>
  <si>
    <t xml:space="preserve">Staff hours freed</t>
  </si>
  <si>
    <t xml:space="preserve">Result</t>
  </si>
  <si>
    <t xml:space="preserve">Five-year view</t>
  </si>
  <si>
    <t xml:space="preserve">Year 1</t>
  </si>
  <si>
    <t xml:space="preserve">Year 2</t>
  </si>
  <si>
    <t xml:space="preserve">Year 3</t>
  </si>
  <si>
    <t xml:space="preserve">Year 4</t>
  </si>
  <si>
    <t xml:space="preserve">Year 5</t>
  </si>
  <si>
    <t xml:space="preserve">Total</t>
  </si>
  <si>
    <t xml:space="preserve">Cost today with manual checks</t>
  </si>
  <si>
    <t xml:space="preserve">Gross saving with Orchid EFT</t>
  </si>
  <si>
    <t xml:space="preserve">   cash saving</t>
  </si>
  <si>
    <t xml:space="preserve">   staff-time saving</t>
  </si>
  <si>
    <t xml:space="preserve">Software cost</t>
  </si>
  <si>
    <t xml:space="preserve">Net saving</t>
  </si>
  <si>
    <t xml:space="preserve">Cumulative net saving</t>
  </si>
  <si>
    <t xml:space="preserve">Year labels</t>
  </si>
  <si>
    <t xml:space="preserve">Where the saving comes from (Year 1)</t>
  </si>
  <si>
    <t xml:space="preserve">Cash saving per year</t>
  </si>
  <si>
    <t xml:space="preserve">Postage, stationery, printing and bank fees no longer paid.</t>
  </si>
  <si>
    <t xml:space="preserve">Staff-time saving per year</t>
  </si>
  <si>
    <t xml:space="preserve">Break-even payments/month</t>
  </si>
  <si>
    <t xml:space="preserve">Staff time as share of saving</t>
  </si>
  <si>
    <t xml:space="preserve">Time savings count as cash only if staff hours are redeployed or avoided.</t>
  </si>
  <si>
    <t xml:space="preserve">Benefits not counted above</t>
  </si>
  <si>
    <t xml:space="preserve">•  Lower fraud risk: no check stock to steal, alter or wash.</t>
  </si>
  <si>
    <t xml:space="preserve">•  Faster, predictable vendor payments, which can support early-payment discounts.</t>
  </si>
  <si>
    <t xml:space="preserve">•  Less paper, postage and physical handling for remote or hybrid AP teams.</t>
  </si>
  <si>
    <t xml:space="preserve">•  With the SFTP option, payment files go to the bank automatically, with no manual upload.</t>
  </si>
  <si>
    <t xml:space="preserve">This is an indicative estimate only. Review and verify the inputs. Results exclude taxes and use the growth rates set on the Inputs tab.</t>
  </si>
  <si>
    <t xml:space="preserve">Inputs</t>
  </si>
  <si>
    <t xml:space="preserve">Change the yellow cells only. Every other cell is calculated.</t>
  </si>
  <si>
    <t xml:space="preserve">Legend:</t>
  </si>
  <si>
    <t xml:space="preserve">Input</t>
  </si>
  <si>
    <t xml:space="preserve">Example values are shown. Replace them with the customer's figures.</t>
  </si>
  <si>
    <t xml:space="preserve">Customer details</t>
  </si>
  <si>
    <t xml:space="preserve">Customer name</t>
  </si>
  <si>
    <t xml:space="preserve">Example Co.</t>
  </si>
  <si>
    <t xml:space="preserve">Orchid Systems</t>
  </si>
  <si>
    <t xml:space="preserve">Country and pricing</t>
  </si>
  <si>
    <t xml:space="preserve">USA</t>
  </si>
  <si>
    <t xml:space="preserve">Pricing applied (from Prices tab)</t>
  </si>
  <si>
    <t xml:space="preserve">Currency</t>
  </si>
  <si>
    <t xml:space="preserve">Annual subscription</t>
  </si>
  <si>
    <t xml:space="preserve">Include SFTP option?</t>
  </si>
  <si>
    <t xml:space="preserve">No</t>
  </si>
  <si>
    <t xml:space="preserve">SFTP option cost</t>
  </si>
  <si>
    <t xml:space="preserve">SFTP billing (from Prices tab)</t>
  </si>
  <si>
    <t xml:space="preserve">Year 1 software cost</t>
  </si>
  <si>
    <t xml:space="preserve">Your business</t>
  </si>
  <si>
    <t xml:space="preserve">Staff cost per hour (incl. on-costs)</t>
  </si>
  <si>
    <t xml:space="preserve">Vendor payments per month</t>
  </si>
  <si>
    <t xml:space="preserve">Bank fee per check</t>
  </si>
  <si>
    <t xml:space="preserve">Bank fee per EFT payment</t>
  </si>
  <si>
    <t xml:space="preserve">One-off implementation &amp; setup cost</t>
  </si>
  <si>
    <t xml:space="preserve">Manual check: cost per check</t>
  </si>
  <si>
    <t xml:space="preserve">Postage</t>
  </si>
  <si>
    <t xml:space="preserve">From Prices tab (USPS Forever stamp).</t>
  </si>
  <si>
    <t xml:space="preserve">Envelope &amp; paper</t>
  </si>
  <si>
    <t xml:space="preserve">From Prices tab stationery reference.</t>
  </si>
  <si>
    <t xml:space="preserve">Printing (toner, wear)</t>
  </si>
  <si>
    <t xml:space="preserve">Check stock &amp; MICR toner</t>
  </si>
  <si>
    <t xml:space="preserve">Other per-check costs</t>
  </si>
  <si>
    <t xml:space="preserve">Cash cost per check</t>
  </si>
  <si>
    <t xml:space="preserve">Staff time, minutes per payment</t>
  </si>
  <si>
    <t xml:space="preserve">Check: prepare &amp; sign</t>
  </si>
  <si>
    <t xml:space="preserve">Check: print remittance advice</t>
  </si>
  <si>
    <t xml:space="preserve">Check: handle, mail &amp; file</t>
  </si>
  <si>
    <t xml:space="preserve">Check: total minutes</t>
  </si>
  <si>
    <t xml:space="preserve">EFT: process payment &amp; email advice</t>
  </si>
  <si>
    <t xml:space="preserve">Adoption and growth</t>
  </si>
  <si>
    <t xml:space="preserve">Share of check payments moved to EFT</t>
  </si>
  <si>
    <t xml:space="preserve">   Year 1</t>
  </si>
  <si>
    <t xml:space="preserve">   Year 2</t>
  </si>
  <si>
    <t xml:space="preserve">   Year 3</t>
  </si>
  <si>
    <t xml:space="preserve">   Year 4</t>
  </si>
  <si>
    <t xml:space="preserve">   Year 5</t>
  </si>
  <si>
    <t xml:space="preserve">Staff cost growth per year</t>
  </si>
  <si>
    <t xml:space="preserve">Software price increase per year</t>
  </si>
  <si>
    <t xml:space="preserve">Calculations</t>
  </si>
  <si>
    <t xml:space="preserve">Cost per payment (Year 1 rates)</t>
  </si>
  <si>
    <t xml:space="preserve">Manual check</t>
  </si>
  <si>
    <t xml:space="preserve">Orchid EFT</t>
  </si>
  <si>
    <t xml:space="preserve">Saving</t>
  </si>
  <si>
    <t xml:space="preserve">Cash cost</t>
  </si>
  <si>
    <t xml:space="preserve">Staff time (minutes)</t>
  </si>
  <si>
    <t xml:space="preserve">Staff time cost</t>
  </si>
  <si>
    <t xml:space="preserve">Total cost per payment</t>
  </si>
  <si>
    <t xml:space="preserve">Share of saving that is staff time</t>
  </si>
  <si>
    <t xml:space="preserve">Year number</t>
  </si>
  <si>
    <t xml:space="preserve">Payments per year</t>
  </si>
  <si>
    <t xml:space="preserve">Share moved to EFT</t>
  </si>
  <si>
    <t xml:space="preserve">Payments by EFT</t>
  </si>
  <si>
    <t xml:space="preserve">Staff cost per hour</t>
  </si>
  <si>
    <t xml:space="preserve">Cost with manual checks only</t>
  </si>
  <si>
    <t xml:space="preserve">Cost with Orchid EFT (operations)</t>
  </si>
  <si>
    <t xml:space="preserve">Gross operational saving</t>
  </si>
  <si>
    <t xml:space="preserve">   of which cash saving</t>
  </si>
  <si>
    <t xml:space="preserve">   of which staff-time saving</t>
  </si>
  <si>
    <t xml:space="preserve">Software cost: annual subscription</t>
  </si>
  <si>
    <t xml:space="preserve">Subscription</t>
  </si>
  <si>
    <t xml:space="preserve">SFTP option</t>
  </si>
  <si>
    <t xml:space="preserve">Implementation &amp; setup</t>
  </si>
  <si>
    <t xml:space="preserve">Total software cost</t>
  </si>
  <si>
    <t xml:space="preserve">Paid back by end of year? (1 = yes)</t>
  </si>
  <si>
    <t xml:space="preserve">Key results</t>
  </si>
  <si>
    <t xml:space="preserve">Year 1 monthly gross saving</t>
  </si>
  <si>
    <t xml:space="preserve">Payback of Year 1 cost (months)</t>
  </si>
  <si>
    <t xml:space="preserve">Software is paid annually in advance; savings build month by month.</t>
  </si>
  <si>
    <t xml:space="preserve">Year 1 average monthly net benefit</t>
  </si>
  <si>
    <t xml:space="preserve">5-year ROI (net saving ÷ software cost)</t>
  </si>
  <si>
    <t xml:space="preserve">Staff hours freed per year (Year 1)</t>
  </si>
  <si>
    <t xml:space="preserve">Break-even payments/month, Year 1 (cash + time)</t>
  </si>
  <si>
    <t xml:space="preserve">Subscription plus SFTP (if selected). Below these volumes it costs more than it saves.</t>
  </si>
  <si>
    <t xml:space="preserve">Break-even payments/month, Year 1 (cash only)</t>
  </si>
  <si>
    <t xml:space="preserve">Orchid EFT Processing for Sage Intacct (AP): price and cost reference</t>
  </si>
  <si>
    <t xml:space="preserve">Maintained by Orchid. Partners and customers normally do not need to change this tab.</t>
  </si>
  <si>
    <t xml:space="preserve">Software prices by country</t>
  </si>
  <si>
    <t xml:space="preserve">Notes</t>
  </si>
  <si>
    <t xml:space="preserve">USD</t>
  </si>
  <si>
    <t xml:space="preserve">US list price (Oct 2026).</t>
  </si>
  <si>
    <t xml:space="preserve">Canada</t>
  </si>
  <si>
    <t xml:space="preserve">CAD</t>
  </si>
  <si>
    <t xml:space="preserve">Canadian list price (CAD).</t>
  </si>
  <si>
    <t xml:space="preserve">Any other country uses the USA row (US pricing, USD).</t>
  </si>
  <si>
    <t xml:space="preserve">SFTP option billing</t>
  </si>
  <si>
    <t xml:space="preserve">Annual</t>
  </si>
  <si>
    <t xml:space="preserve">Stationery reference (used for per-check costs on Inputs)</t>
  </si>
  <si>
    <t xml:space="preserve">Item</t>
  </si>
  <si>
    <t xml:space="preserve">Pack quantity</t>
  </si>
  <si>
    <t xml:space="preserve">Pack price</t>
  </si>
  <si>
    <t xml:space="preserve">Cost each</t>
  </si>
  <si>
    <t xml:space="preserve">Last checked</t>
  </si>
  <si>
    <t xml:space="preserve">Source</t>
  </si>
  <si>
    <t xml:space="preserve">Envelopes</t>
  </si>
  <si>
    <t xml:space="preserve">Oct 2026</t>
  </si>
  <si>
    <t xml:space="preserve">Supplier pack price. Update when prices change.</t>
  </si>
  <si>
    <t xml:space="preserve">Paper (ream)</t>
  </si>
  <si>
    <t xml:space="preserve">Envelope + paper per check</t>
  </si>
  <si>
    <t xml:space="preserve">Postage reference</t>
  </si>
  <si>
    <t xml:space="preserve">USPS First-Class Forever stamp</t>
  </si>
  <si>
    <t xml:space="preserve">$0.78 since July 2025. A rise to $0.82 from 12 July 2026 was announced pending regulator approval: confirm at usps.com and update.</t>
  </si>
</sst>
</file>

<file path=xl/styles.xml><?xml version="1.0" encoding="utf-8"?>
<styleSheet xmlns="http://schemas.openxmlformats.org/spreadsheetml/2006/main">
  <numFmts count="12">
    <numFmt numFmtId="164" formatCode="General"/>
    <numFmt numFmtId="165" formatCode="d\ mmm\ yyyy"/>
    <numFmt numFmtId="166" formatCode="\$#,##0;&quot;($&quot;#,##0\);\-"/>
    <numFmt numFmtId="167" formatCode="0.0&quot; months&quot;;;\-"/>
    <numFmt numFmtId="168" formatCode="\$#,##0.00;&quot;($&quot;#,##0.00\);\-"/>
    <numFmt numFmtId="169" formatCode="#,##0;\(#,##0\);\-"/>
    <numFmt numFmtId="170" formatCode="0.0"/>
    <numFmt numFmtId="171" formatCode="0.0%;\(0.0%\);\-"/>
    <numFmt numFmtId="172" formatCode="\$#,##0"/>
    <numFmt numFmtId="173" formatCode="\$#,##0.000;&quot;($&quot;#,##0.000\);\-"/>
    <numFmt numFmtId="174" formatCode="#,##0.0;\(#,##0.0\);\-"/>
    <numFmt numFmtId="175" formatCode="0"/>
  </numFmts>
  <fonts count="28">
    <font>
      <sz val="11"/>
      <color theme="1"/>
      <name val="Calibri"/>
      <family val="2"/>
      <charset val="1"/>
    </font>
    <font>
      <sz val="10"/>
      <name val="Arial"/>
      <family val="0"/>
    </font>
    <font>
      <sz val="10"/>
      <name val="Arial"/>
      <family val="0"/>
    </font>
    <font>
      <sz val="10"/>
      <name val="Arial"/>
      <family val="0"/>
    </font>
    <font>
      <b val="true"/>
      <sz val="18"/>
      <color rgb="FF255088"/>
      <name val="Arial"/>
      <family val="0"/>
      <charset val="1"/>
    </font>
    <font>
      <sz val="12"/>
      <color rgb="FF595959"/>
      <name val="Arial"/>
      <family val="0"/>
      <charset val="1"/>
    </font>
    <font>
      <b val="true"/>
      <sz val="10"/>
      <color rgb="FF000000"/>
      <name val="Arial"/>
      <family val="0"/>
      <charset val="1"/>
    </font>
    <font>
      <sz val="10"/>
      <color rgb="FF008000"/>
      <name val="Arial"/>
      <family val="0"/>
      <charset val="1"/>
    </font>
    <font>
      <i val="true"/>
      <sz val="10"/>
      <color rgb="FF595959"/>
      <name val="Arial"/>
      <family val="0"/>
      <charset val="1"/>
    </font>
    <font>
      <b val="true"/>
      <u val="single"/>
      <sz val="9"/>
      <color rgb="FF2059A1"/>
      <name val="Arial"/>
      <family val="0"/>
      <charset val="1"/>
    </font>
    <font>
      <sz val="9"/>
      <color rgb="FF000000"/>
      <name val="Arial"/>
      <family val="0"/>
      <charset val="1"/>
    </font>
    <font>
      <sz val="9"/>
      <color rgb="FF595959"/>
      <name val="Arial"/>
      <family val="0"/>
      <charset val="1"/>
    </font>
    <font>
      <b val="true"/>
      <sz val="18"/>
      <color rgb="FF2059A1"/>
      <name val="Arial"/>
      <family val="0"/>
      <charset val="1"/>
    </font>
    <font>
      <sz val="8"/>
      <color rgb="FF595959"/>
      <name val="Arial"/>
      <family val="0"/>
      <charset val="1"/>
    </font>
    <font>
      <b val="true"/>
      <sz val="11"/>
      <color rgb="FF255088"/>
      <name val="Arial"/>
      <family val="0"/>
      <charset val="1"/>
    </font>
    <font>
      <sz val="10"/>
      <color rgb="FF000000"/>
      <name val="Arial"/>
      <family val="0"/>
      <charset val="1"/>
    </font>
    <font>
      <b val="true"/>
      <i val="true"/>
      <sz val="10"/>
      <color rgb="FF255088"/>
      <name val="Arial"/>
      <family val="0"/>
      <charset val="1"/>
    </font>
    <font>
      <b val="true"/>
      <sz val="11"/>
      <color rgb="FFFFFFFF"/>
      <name val="Arial"/>
      <family val="0"/>
      <charset val="1"/>
    </font>
    <font>
      <sz val="6"/>
      <color rgb="FFFFFFFF"/>
      <name val="Arial"/>
      <family val="0"/>
      <charset val="1"/>
    </font>
    <font>
      <i val="true"/>
      <sz val="8"/>
      <color rgb="FF595959"/>
      <name val="Arial"/>
      <family val="0"/>
      <charset val="1"/>
    </font>
    <font>
      <b val="true"/>
      <sz val="18"/>
      <color rgb="FF000000"/>
      <name val="Calibri"/>
      <family val="2"/>
    </font>
    <font>
      <sz val="10"/>
      <color rgb="FF000000"/>
      <name val="Calibri"/>
      <family val="2"/>
    </font>
    <font>
      <b val="true"/>
      <sz val="14"/>
      <color rgb="FF255088"/>
      <name val="Arial"/>
      <family val="0"/>
      <charset val="1"/>
    </font>
    <font>
      <sz val="10"/>
      <color rgb="FF0000FF"/>
      <name val="Arial"/>
      <family val="0"/>
      <charset val="1"/>
    </font>
    <font>
      <sz val="11"/>
      <color rgb="FF008000"/>
      <name val="Arial"/>
      <family val="0"/>
      <charset val="1"/>
    </font>
    <font>
      <sz val="10"/>
      <name val="Arial"/>
      <family val="2"/>
    </font>
    <font>
      <b val="true"/>
      <sz val="10"/>
      <color rgb="FF255088"/>
      <name val="Arial"/>
      <family val="0"/>
      <charset val="1"/>
    </font>
    <font>
      <sz val="10"/>
      <color rgb="FF808080"/>
      <name val="Arial"/>
      <family val="0"/>
      <charset val="1"/>
    </font>
  </fonts>
  <fills count="7">
    <fill>
      <patternFill patternType="none"/>
    </fill>
    <fill>
      <patternFill patternType="gray125"/>
    </fill>
    <fill>
      <patternFill patternType="solid">
        <fgColor rgb="FFFCE9D2"/>
        <bgColor rgb="FFFFF2CC"/>
      </patternFill>
    </fill>
    <fill>
      <patternFill patternType="solid">
        <fgColor rgb="FFEEF4FB"/>
        <bgColor rgb="FFFFFFFF"/>
      </patternFill>
    </fill>
    <fill>
      <patternFill patternType="solid">
        <fgColor rgb="FF2059A1"/>
        <bgColor rgb="FF255088"/>
      </patternFill>
    </fill>
    <fill>
      <patternFill patternType="solid">
        <fgColor rgb="FFDCE8F5"/>
        <bgColor rgb="FFEEF4FB"/>
      </patternFill>
    </fill>
    <fill>
      <patternFill patternType="solid">
        <fgColor rgb="FFFFF2CC"/>
        <bgColor rgb="FFFCE9D2"/>
      </patternFill>
    </fill>
  </fills>
  <borders count="4">
    <border diagonalUp="false" diagonalDown="false">
      <left/>
      <right/>
      <top/>
      <bottom/>
      <diagonal/>
    </border>
    <border diagonalUp="false" diagonalDown="false">
      <left/>
      <right/>
      <top style="thin">
        <color rgb="FFF3A84F"/>
      </top>
      <bottom style="thin">
        <color rgb="FFF3A84F"/>
      </bottom>
      <diagonal/>
    </border>
    <border diagonalUp="false" diagonalDown="false">
      <left/>
      <right/>
      <top style="thin"/>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true" applyProtection="false">
      <alignment horizontal="left" vertical="center"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right" vertical="center" textRotation="0" wrapText="false" indent="0" shrinkToFit="false"/>
      <protection locked="true" hidden="false"/>
    </xf>
    <xf numFmtId="164" fontId="10" fillId="2" borderId="1" xfId="0" applyFont="true" applyBorder="true" applyAlignment="true" applyProtection="false">
      <alignment horizontal="general" vertical="center" textRotation="0" wrapText="true" indent="1" shrinkToFit="false"/>
      <protection locked="true" hidden="false"/>
    </xf>
    <xf numFmtId="164" fontId="11" fillId="3" borderId="0" xfId="0" applyFont="true" applyBorder="false" applyAlignment="true" applyProtection="false">
      <alignment horizontal="center" vertical="center" textRotation="0" wrapText="false" indent="0" shrinkToFit="false"/>
      <protection locked="true" hidden="false"/>
    </xf>
    <xf numFmtId="164" fontId="11" fillId="3" borderId="0" xfId="0" applyFont="true" applyBorder="true" applyAlignment="true" applyProtection="false">
      <alignment horizontal="center" vertical="center" textRotation="0" wrapText="false" indent="0" shrinkToFit="false"/>
      <protection locked="true" hidden="false"/>
    </xf>
    <xf numFmtId="166" fontId="12" fillId="3" borderId="0" xfId="0" applyFont="true" applyBorder="false" applyAlignment="true" applyProtection="false">
      <alignment horizontal="center" vertical="center" textRotation="0" wrapText="false" indent="0" shrinkToFit="false"/>
      <protection locked="true" hidden="false"/>
    </xf>
    <xf numFmtId="167" fontId="12" fillId="3" borderId="0" xfId="0" applyFont="true" applyBorder="true" applyAlignment="true" applyProtection="false">
      <alignment horizontal="center" vertical="center" textRotation="0" wrapText="false" indent="0" shrinkToFit="false"/>
      <protection locked="true" hidden="false"/>
    </xf>
    <xf numFmtId="168" fontId="12" fillId="3" borderId="0" xfId="0" applyFont="true" applyBorder="true" applyAlignment="true" applyProtection="false">
      <alignment horizontal="center" vertical="center" textRotation="0" wrapText="false" indent="0" shrinkToFit="false"/>
      <protection locked="true" hidden="false"/>
    </xf>
    <xf numFmtId="169" fontId="12" fillId="3" borderId="0" xfId="0" applyFont="true" applyBorder="true" applyAlignment="true" applyProtection="false">
      <alignment horizontal="center" vertical="center" textRotation="0" wrapText="false" indent="0" shrinkToFit="false"/>
      <protection locked="true" hidden="false"/>
    </xf>
    <xf numFmtId="164" fontId="13" fillId="3" borderId="0" xfId="0" applyFont="true" applyBorder="false" applyAlignment="true" applyProtection="false">
      <alignment horizontal="center" vertical="center" textRotation="0" wrapText="true" indent="0" shrinkToFit="false"/>
      <protection locked="true" hidden="false"/>
    </xf>
    <xf numFmtId="164" fontId="13" fillId="3" borderId="0" xfId="0" applyFont="true" applyBorder="true" applyAlignment="true" applyProtection="false">
      <alignment horizontal="center" vertical="center"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center" textRotation="0" wrapText="true" indent="0" shrinkToFit="false"/>
      <protection locked="true" hidden="false"/>
    </xf>
    <xf numFmtId="164" fontId="16" fillId="0" borderId="0" xfId="0" applyFont="true" applyBorder="true" applyAlignment="true" applyProtection="false">
      <alignment horizontal="general" vertical="top" textRotation="0" wrapText="false" indent="0" shrinkToFit="false"/>
      <protection locked="true" hidden="false"/>
    </xf>
    <xf numFmtId="164" fontId="17"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15" fillId="5" borderId="0" xfId="0" applyFont="true" applyBorder="false" applyAlignment="false" applyProtection="false">
      <alignment horizontal="general" vertical="bottom" textRotation="0" wrapText="false" indent="0" shrinkToFit="false"/>
      <protection locked="true" hidden="false"/>
    </xf>
    <xf numFmtId="164" fontId="6" fillId="5" borderId="0" xfId="0" applyFont="true" applyBorder="false" applyAlignment="true" applyProtection="false">
      <alignment horizontal="right" vertical="center"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6" fontId="15" fillId="0" borderId="0" xfId="0" applyFont="true" applyBorder="fals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6" fontId="6" fillId="0" borderId="2" xfId="0" applyFont="true" applyBorder="tru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true" applyAlignment="true" applyProtection="false">
      <alignment horizontal="general" vertical="bottom" textRotation="0" wrapText="tru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4" fontId="23" fillId="6" borderId="3" xfId="0" applyFont="true" applyBorder="true" applyAlignment="true" applyProtection="false">
      <alignment horizontal="center" vertical="center" textRotation="0" wrapText="false" indent="0" shrinkToFit="false"/>
      <protection locked="true" hidden="false"/>
    </xf>
    <xf numFmtId="164" fontId="23" fillId="6" borderId="3" xfId="0" applyFont="true" applyBorder="true" applyAlignment="true" applyProtection="true">
      <alignment horizontal="left" vertical="bottom" textRotation="0" wrapText="false" indent="0" shrinkToFit="false"/>
      <protection locked="false" hidden="false"/>
    </xf>
    <xf numFmtId="165" fontId="23" fillId="6" borderId="3" xfId="0" applyFont="true" applyBorder="true" applyAlignment="true" applyProtection="true">
      <alignment horizontal="right" vertical="center" textRotation="0" wrapText="false" indent="0" shrinkToFit="false"/>
      <protection locked="false" hidden="false"/>
    </xf>
    <xf numFmtId="164" fontId="24" fillId="0" borderId="0" xfId="0" applyFont="true" applyBorder="false" applyAlignment="true" applyProtection="false">
      <alignment horizontal="right" vertical="center" textRotation="0" wrapText="false" indent="0" shrinkToFit="false"/>
      <protection locked="true" hidden="false"/>
    </xf>
    <xf numFmtId="168" fontId="15" fillId="0" borderId="0" xfId="0" applyFont="true" applyBorder="false" applyAlignment="false" applyProtection="false">
      <alignment horizontal="general" vertical="bottom" textRotation="0" wrapText="false" indent="0" shrinkToFit="false"/>
      <protection locked="true" hidden="false"/>
    </xf>
    <xf numFmtId="164" fontId="23" fillId="6" borderId="3" xfId="0" applyFont="true" applyBorder="true" applyAlignment="true" applyProtection="true">
      <alignment horizontal="right" vertical="center" textRotation="0" wrapText="false" indent="0" shrinkToFit="false"/>
      <protection locked="false" hidden="false"/>
    </xf>
    <xf numFmtId="168" fontId="6" fillId="0" borderId="2" xfId="0" applyFont="true" applyBorder="true" applyAlignment="false" applyProtection="false">
      <alignment horizontal="general" vertical="bottom" textRotation="0" wrapText="false" indent="0" shrinkToFit="false"/>
      <protection locked="true" hidden="false"/>
    </xf>
    <xf numFmtId="168" fontId="23" fillId="6" borderId="3" xfId="0" applyFont="true" applyBorder="true" applyAlignment="true" applyProtection="true">
      <alignment horizontal="right" vertical="center" textRotation="0" wrapText="false" indent="0" shrinkToFit="false"/>
      <protection locked="false" hidden="false"/>
    </xf>
    <xf numFmtId="169" fontId="23" fillId="6" borderId="3" xfId="0" applyFont="true" applyBorder="true" applyAlignment="true" applyProtection="true">
      <alignment horizontal="right" vertical="center" textRotation="0" wrapText="false" indent="0" shrinkToFit="false"/>
      <protection locked="fals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74" fontId="23" fillId="6" borderId="3" xfId="0" applyFont="true" applyBorder="true" applyAlignment="true" applyProtection="true">
      <alignment horizontal="right" vertical="center" textRotation="0" wrapText="false" indent="0" shrinkToFit="false"/>
      <protection locked="false" hidden="false"/>
    </xf>
    <xf numFmtId="174" fontId="6" fillId="0" borderId="2" xfId="0" applyFont="true" applyBorder="true" applyAlignment="false" applyProtection="false">
      <alignment horizontal="general" vertical="bottom" textRotation="0" wrapText="false" indent="0" shrinkToFit="false"/>
      <protection locked="true" hidden="false"/>
    </xf>
    <xf numFmtId="171" fontId="23" fillId="6" borderId="3" xfId="0" applyFont="true" applyBorder="true" applyAlignment="true" applyProtection="true">
      <alignment horizontal="right" vertical="center" textRotation="0" wrapText="false" indent="0" shrinkToFit="false"/>
      <protection locked="false" hidden="false"/>
    </xf>
    <xf numFmtId="174" fontId="15" fillId="0" borderId="0" xfId="0" applyFont="true" applyBorder="false" applyAlignment="false" applyProtection="false">
      <alignment horizontal="general" vertical="bottom" textRotation="0" wrapText="false" indent="0" shrinkToFit="false"/>
      <protection locked="true" hidden="false"/>
    </xf>
    <xf numFmtId="171" fontId="15" fillId="0" borderId="0" xfId="0" applyFont="true" applyBorder="false" applyAlignment="false" applyProtection="false">
      <alignment horizontal="general" vertical="bottom" textRotation="0" wrapText="false" indent="0" shrinkToFit="false"/>
      <protection locked="true" hidden="false"/>
    </xf>
    <xf numFmtId="175" fontId="15" fillId="0" borderId="0" xfId="0" applyFont="true" applyBorder="false" applyAlignment="false" applyProtection="false">
      <alignment horizontal="general" vertical="bottom" textRotation="0" wrapText="false" indent="0" shrinkToFit="false"/>
      <protection locked="true" hidden="false"/>
    </xf>
    <xf numFmtId="169" fontId="15"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false" applyProtection="false">
      <alignment horizontal="general" vertical="bottom" textRotation="0" wrapText="false" indent="0" shrinkToFit="false"/>
      <protection locked="true" hidden="false"/>
    </xf>
    <xf numFmtId="166" fontId="6" fillId="3" borderId="0" xfId="0" applyFont="true" applyBorder="false" applyAlignment="false" applyProtection="false">
      <alignment horizontal="general" vertical="bottom"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6" fontId="15" fillId="0" borderId="2" xfId="0" applyFont="true" applyBorder="true" applyAlignment="false" applyProtection="false">
      <alignment horizontal="general" vertical="bottom" textRotation="0" wrapText="false" indent="0" shrinkToFit="false"/>
      <protection locked="true" hidden="false"/>
    </xf>
    <xf numFmtId="175" fontId="27"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true" applyProtection="false">
      <alignment horizontal="right" vertical="center" textRotation="0" wrapText="false" indent="0" shrinkToFit="false"/>
      <protection locked="true" hidden="false"/>
    </xf>
    <xf numFmtId="174" fontId="6" fillId="0" borderId="0" xfId="0" applyFont="true" applyBorder="false" applyAlignment="true" applyProtection="false">
      <alignment horizontal="right" vertical="center" textRotation="0" wrapText="false" indent="0" shrinkToFit="false"/>
      <protection locked="true" hidden="false"/>
    </xf>
    <xf numFmtId="171" fontId="6" fillId="0" borderId="0" xfId="0" applyFont="true" applyBorder="false" applyAlignment="true" applyProtection="false">
      <alignment horizontal="right" vertical="center" textRotation="0" wrapText="false" indent="0" shrinkToFit="false"/>
      <protection locked="true" hidden="false"/>
    </xf>
    <xf numFmtId="169" fontId="6" fillId="0" borderId="0" xfId="0" applyFont="true" applyBorder="false" applyAlignment="true" applyProtection="false">
      <alignment horizontal="right" vertical="center" textRotation="0" wrapText="false" indent="0" shrinkToFit="false"/>
      <protection locked="true" hidden="false"/>
    </xf>
    <xf numFmtId="164" fontId="6" fillId="5" borderId="0" xfId="0" applyFont="true" applyBorder="false" applyAlignment="true" applyProtection="false">
      <alignment horizontal="general" vertical="center" textRotation="0" wrapText="true" indent="0" shrinkToFit="false"/>
      <protection locked="true" hidden="false"/>
    </xf>
    <xf numFmtId="164" fontId="0" fillId="5" borderId="0" xfId="0" applyFont="false" applyBorder="false" applyAlignment="true" applyProtection="false">
      <alignment horizontal="general" vertical="center" textRotation="0" wrapText="false" indent="0" shrinkToFit="false"/>
      <protection locked="true" hidden="false"/>
    </xf>
    <xf numFmtId="164" fontId="15" fillId="0" borderId="3" xfId="0" applyFont="true" applyBorder="true" applyAlignment="true" applyProtection="false">
      <alignment horizontal="general" vertical="center" textRotation="0" wrapText="false" indent="0" shrinkToFit="false"/>
      <protection locked="true" hidden="false"/>
    </xf>
    <xf numFmtId="166" fontId="23" fillId="6" borderId="3" xfId="0" applyFont="true" applyBorder="true" applyAlignment="true" applyProtection="true">
      <alignment horizontal="right" vertical="center" textRotation="0" wrapText="false" indent="0" shrinkToFit="false"/>
      <protection locked="false" hidden="false"/>
    </xf>
    <xf numFmtId="164" fontId="23" fillId="6" borderId="3" xfId="0" applyFont="true" applyBorder="true" applyAlignment="true" applyProtection="true">
      <alignment horizontal="center" vertical="center" textRotation="0" wrapText="false" indent="0" shrinkToFit="false"/>
      <protection locked="fals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17" fillId="4" borderId="0" xfId="0" applyFont="true" applyBorder="false" applyAlignment="true" applyProtection="false">
      <alignment horizontal="general" vertical="center" textRotation="0" wrapText="false" indent="0" shrinkToFit="false"/>
      <protection locked="true" hidden="false"/>
    </xf>
    <xf numFmtId="164" fontId="0" fillId="4" borderId="0" xfId="0" applyFont="false" applyBorder="false" applyAlignment="true" applyProtection="false">
      <alignment horizontal="general" vertical="center" textRotation="0" wrapText="false" indent="0" shrinkToFit="false"/>
      <protection locked="true" hidden="false"/>
    </xf>
    <xf numFmtId="164" fontId="6" fillId="5" borderId="0" xfId="0" applyFont="true" applyBorder="false" applyAlignment="true" applyProtection="false">
      <alignment horizontal="general" vertical="center" textRotation="0" wrapText="false" indent="0" shrinkToFit="false"/>
      <protection locked="true" hidden="false"/>
    </xf>
    <xf numFmtId="173" fontId="15" fillId="0" borderId="3" xfId="0" applyFont="true" applyBorder="true" applyAlignment="true" applyProtection="false">
      <alignment horizontal="right"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73" fontId="6" fillId="0" borderId="2" xfId="0" applyFont="true" applyBorder="true" applyAlignment="true" applyProtection="false">
      <alignment horizontal="righ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DCE8F5"/>
      <rgbColor rgb="FF660066"/>
      <rgbColor rgb="FFFF8080"/>
      <rgbColor rgb="FF2059A1"/>
      <rgbColor rgb="FFD9D9D9"/>
      <rgbColor rgb="FF000080"/>
      <rgbColor rgb="FFFF00FF"/>
      <rgbColor rgb="FFFFFF00"/>
      <rgbColor rgb="FF00FFFF"/>
      <rgbColor rgb="FF800080"/>
      <rgbColor rgb="FF800000"/>
      <rgbColor rgb="FF008080"/>
      <rgbColor rgb="FF0000FF"/>
      <rgbColor rgb="FF00CCFF"/>
      <rgbColor rgb="FFEEF4FB"/>
      <rgbColor rgb="FFCCFFCC"/>
      <rgbColor rgb="FFFCE9D2"/>
      <rgbColor rgb="FF99CCFF"/>
      <rgbColor rgb="FFFF99CC"/>
      <rgbColor rgb="FFCC99FF"/>
      <rgbColor rgb="FFFFCC99"/>
      <rgbColor rgb="FF3366FF"/>
      <rgbColor rgb="FF33CCCC"/>
      <rgbColor rgb="FF99CC00"/>
      <rgbColor rgb="FFFFCC00"/>
      <rgbColor rgb="FFF3A84F"/>
      <rgbColor rgb="FFFF6600"/>
      <rgbColor rgb="FF595959"/>
      <rgbColor rgb="FF878787"/>
      <rgbColor rgb="FF003366"/>
      <rgbColor rgb="FF339966"/>
      <rgbColor rgb="FF003300"/>
      <rgbColor rgb="FF333300"/>
      <rgbColor rgb="FF993300"/>
      <rgbColor rgb="FF993366"/>
      <rgbColor rgb="FF25508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Cumulative net saving</a:t>
            </a:r>
          </a:p>
        </c:rich>
      </c:tx>
      <c:overlay val="0"/>
      <c:spPr>
        <a:noFill/>
        <a:ln w="0">
          <a:noFill/>
        </a:ln>
      </c:spPr>
    </c:title>
    <c:autoTitleDeleted val="0"/>
    <c:plotArea>
      <c:lineChart>
        <c:grouping val="standard"/>
        <c:varyColors val="0"/>
        <c:ser>
          <c:idx val="0"/>
          <c:order val="0"/>
          <c:tx>
            <c:strRef>
              <c:f>Summary!$B$23</c:f>
              <c:strCache>
                <c:ptCount val="1"/>
                <c:pt idx="0">
                  <c:v>Cumulative net saving</c:v>
                </c:pt>
              </c:strCache>
            </c:strRef>
          </c:tx>
          <c:spPr>
            <a:solidFill>
              <a:srgbClr val="2059a1"/>
            </a:solidFill>
            <a:ln w="28080">
              <a:solidFill>
                <a:srgbClr val="2059a1"/>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Summary!$C$25:$G$25</c:f>
              <c:strCache>
                <c:ptCount val="5"/>
                <c:pt idx="0">
                  <c:v>Year 1</c:v>
                </c:pt>
                <c:pt idx="1">
                  <c:v>Year 2</c:v>
                </c:pt>
                <c:pt idx="2">
                  <c:v>Year 3</c:v>
                </c:pt>
                <c:pt idx="3">
                  <c:v>Year 4</c:v>
                </c:pt>
                <c:pt idx="4">
                  <c:v>Year 5</c:v>
                </c:pt>
              </c:strCache>
            </c:strRef>
          </c:cat>
          <c:val>
            <c:numRef>
              <c:f>Summary!$C$23:$G$23</c:f>
              <c:numCache>
                <c:formatCode>\$#,##0;"($"#,##0\);\-</c:formatCode>
                <c:ptCount val="5"/>
                <c:pt idx="0">
                  <c:v>1809.12</c:v>
                </c:pt>
                <c:pt idx="1">
                  <c:v>3618.24</c:v>
                </c:pt>
                <c:pt idx="2">
                  <c:v>5427.36</c:v>
                </c:pt>
                <c:pt idx="3">
                  <c:v>7236.48</c:v>
                </c:pt>
                <c:pt idx="4">
                  <c:v>9045.6</c:v>
                </c:pt>
              </c:numCache>
            </c:numRef>
          </c:val>
          <c:smooth val="1"/>
        </c:ser>
        <c:hiLowLines>
          <c:spPr>
            <a:ln w="0">
              <a:noFill/>
            </a:ln>
          </c:spPr>
        </c:hiLowLines>
        <c:marker val="0"/>
        <c:axId val="13740349"/>
        <c:axId val="60568625"/>
      </c:lineChart>
      <c:catAx>
        <c:axId val="1374034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0568625"/>
        <c:crosses val="autoZero"/>
        <c:auto val="1"/>
        <c:lblAlgn val="ctr"/>
        <c:lblOffset val="100"/>
        <c:noMultiLvlLbl val="0"/>
      </c:catAx>
      <c:valAx>
        <c:axId val="60568625"/>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3740349"/>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image" Target="../media/image1.png"/><Relationship Id="rId3"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26</xdr:row>
      <xdr:rowOff>0</xdr:rowOff>
    </xdr:from>
    <xdr:to>
      <xdr:col>9</xdr:col>
      <xdr:colOff>580680</xdr:colOff>
      <xdr:row>39</xdr:row>
      <xdr:rowOff>43200</xdr:rowOff>
    </xdr:to>
    <xdr:graphicFrame>
      <xdr:nvGraphicFramePr>
        <xdr:cNvPr id="0" name="Chart 1"/>
        <xdr:cNvGraphicFramePr/>
      </xdr:nvGraphicFramePr>
      <xdr:xfrm>
        <a:off x="141120" y="6391440"/>
        <a:ext cx="9179640" cy="25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1</xdr:col>
      <xdr:colOff>514080</xdr:colOff>
      <xdr:row>1</xdr:row>
      <xdr:rowOff>218880</xdr:rowOff>
    </xdr:to>
    <xdr:pic>
      <xdr:nvPicPr>
        <xdr:cNvPr id="1" name="Image 2" descr="Picture"/>
        <xdr:cNvPicPr/>
      </xdr:nvPicPr>
      <xdr:blipFill>
        <a:blip r:embed="rId2"/>
        <a:stretch/>
      </xdr:blipFill>
      <xdr:spPr>
        <a:xfrm>
          <a:off x="141120" y="0"/>
          <a:ext cx="514080" cy="495000"/>
        </a:xfrm>
        <a:prstGeom prst="rect">
          <a:avLst/>
        </a:prstGeom>
        <a:ln w="0">
          <a:noFill/>
        </a:ln>
      </xdr:spPr>
    </xdr:pic>
    <xdr:clientData/>
  </xdr:twoCellAnchor>
  <xdr:twoCellAnchor editAs="oneCell">
    <xdr:from>
      <xdr:col>6</xdr:col>
      <xdr:colOff>561960</xdr:colOff>
      <xdr:row>55</xdr:row>
      <xdr:rowOff>114480</xdr:rowOff>
    </xdr:from>
    <xdr:to>
      <xdr:col>7</xdr:col>
      <xdr:colOff>999720</xdr:colOff>
      <xdr:row>56</xdr:row>
      <xdr:rowOff>437760</xdr:rowOff>
    </xdr:to>
    <xdr:pic>
      <xdr:nvPicPr>
        <xdr:cNvPr id="2" name="Image 3" descr="Picture"/>
        <xdr:cNvPicPr/>
      </xdr:nvPicPr>
      <xdr:blipFill>
        <a:blip r:embed="rId3"/>
        <a:stretch/>
      </xdr:blipFill>
      <xdr:spPr>
        <a:xfrm>
          <a:off x="7046640" y="12030120"/>
          <a:ext cx="1495080" cy="5140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5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0"/>
    <col collapsed="false" customWidth="true" hidden="false" outlineLevel="0" max="8" min="3" style="0" width="15"/>
    <col collapsed="false" customWidth="true" hidden="false" outlineLevel="0" max="9" min="9" style="0" width="2"/>
  </cols>
  <sheetData>
    <row r="1" customFormat="false" ht="21.75" hidden="false" customHeight="true" outlineLevel="0" collapsed="false">
      <c r="C1" s="1" t="s">
        <v>0</v>
      </c>
    </row>
    <row r="2" customFormat="false" ht="21.75" hidden="false" customHeight="true" outlineLevel="0" collapsed="false">
      <c r="C2" s="2" t="s">
        <v>1</v>
      </c>
    </row>
    <row r="4" customFormat="false" ht="15" hidden="false" customHeight="false" outlineLevel="0" collapsed="false">
      <c r="B4" s="3" t="s">
        <v>2</v>
      </c>
      <c r="C4" s="4" t="str">
        <f aca="false">Inputs!B6</f>
        <v>Example Co.</v>
      </c>
      <c r="E4" s="3" t="s">
        <v>3</v>
      </c>
      <c r="F4" s="4" t="str">
        <f aca="false">Inputs!B7</f>
        <v>Orchid Systems</v>
      </c>
    </row>
    <row r="5" customFormat="false" ht="15" hidden="false" customHeight="false" outlineLevel="0" collapsed="false">
      <c r="B5" s="3" t="s">
        <v>4</v>
      </c>
      <c r="C5" s="4" t="str">
        <f aca="false">Inputs!B11</f>
        <v>USA</v>
      </c>
      <c r="E5" s="3" t="s">
        <v>5</v>
      </c>
      <c r="F5" s="5" t="n">
        <f aca="false">Inputs!B8</f>
        <v>46313</v>
      </c>
    </row>
    <row r="6" customFormat="false" ht="18" hidden="false" customHeight="true" outlineLevel="0" collapsed="false">
      <c r="B6" s="6" t="str">
        <f aca="false">"Amounts in "&amp;Inputs!B13&amp;IF(Inputs!B11&lt;&gt;Inputs!B12,", using US pricing","")</f>
        <v>Amounts in USD</v>
      </c>
      <c r="H6" s="7" t="s">
        <v>6</v>
      </c>
    </row>
    <row r="7" customFormat="false" ht="57.75" hidden="false" customHeight="true" outlineLevel="0" collapsed="false">
      <c r="B7" s="8" t="s">
        <v>7</v>
      </c>
      <c r="C7" s="8"/>
      <c r="D7" s="8"/>
      <c r="E7" s="8"/>
      <c r="F7" s="8"/>
      <c r="G7" s="8"/>
      <c r="H7" s="8"/>
    </row>
    <row r="8" customFormat="false" ht="18" hidden="false" customHeight="true" outlineLevel="0" collapsed="false">
      <c r="B8" s="9" t="s">
        <v>8</v>
      </c>
      <c r="C8" s="10" t="s">
        <v>9</v>
      </c>
      <c r="D8" s="10"/>
      <c r="E8" s="10" t="s">
        <v>10</v>
      </c>
      <c r="F8" s="10"/>
      <c r="G8" s="10" t="s">
        <v>11</v>
      </c>
      <c r="H8" s="10"/>
    </row>
    <row r="9" customFormat="false" ht="30" hidden="false" customHeight="true" outlineLevel="0" collapsed="false">
      <c r="B9" s="11" t="n">
        <f aca="false">Calculations!B37</f>
        <v>9045.6</v>
      </c>
      <c r="C9" s="12" t="n">
        <f aca="false">Calculations!B39</f>
        <v>5.43951261966928</v>
      </c>
      <c r="D9" s="12"/>
      <c r="E9" s="13" t="n">
        <f aca="false">Calculations!D9</f>
        <v>6.894</v>
      </c>
      <c r="F9" s="13"/>
      <c r="G9" s="14" t="n">
        <f aca="false">Calculations!B42</f>
        <v>72</v>
      </c>
      <c r="H9" s="14"/>
    </row>
    <row r="10" customFormat="false" ht="25.5" hidden="false" customHeight="true" outlineLevel="0" collapsed="false">
      <c r="B10" s="15" t="str">
        <f aca="false">IF(Inputs!B15="Yes","subscription + SFTP option","annual subscription")</f>
        <v>annual subscription</v>
      </c>
      <c r="C10" s="16" t="str">
        <f aca="false">IF(Calculations!B40&gt;0,"Year 1 net benefit: "&amp;TEXT(Calculations!B40,"$#,##0")&amp;" a month","Costs more than it saves in Year 1")</f>
        <v>Year 1 net benefit: $151 a month</v>
      </c>
      <c r="D10" s="16"/>
      <c r="E10" s="16" t="str">
        <f aca="false">"vs "&amp;TEXT(Calculations!B9,"$0.00")&amp;" per manual check"</f>
        <v>vs $8.56 per manual check</v>
      </c>
      <c r="F10" s="16"/>
      <c r="G10" s="16" t="str">
        <f aca="false">"per year, about "&amp;TEXT(Calculations!B42/52,"0.0")&amp;" hrs a week"</f>
        <v>per year, about 1.4 hrs a week</v>
      </c>
      <c r="H10" s="16"/>
    </row>
    <row r="12" customFormat="false" ht="15" hidden="false" customHeight="false" outlineLevel="0" collapsed="false">
      <c r="B12" s="17" t="s">
        <v>12</v>
      </c>
    </row>
    <row r="13" customFormat="false" ht="30" hidden="false" customHeight="true" outlineLevel="0" collapsed="false">
      <c r="B13" s="18" t="str">
        <f aca="false">IF(Calculations!B37&lt;=0,"Orchid EFT Processing does not pay back within 5 years at these inputs. Check payment volumes and staff time.","Orchid EFT Processing saves an estimated "&amp;TEXT(Calculations!B37,"$#,##0")&amp;" net over 5 years and recovers its Year 1 cost in "&amp;IF(ISNUMBER(Calculations!B39),TEXT(Calculations!B39,"0.0")&amp;" months.","more than 5 years."))</f>
        <v>Orchid EFT Processing saves an estimated $9,046 net over 5 years and recovers its Year 1 cost in 5.4 months.</v>
      </c>
      <c r="C13" s="18"/>
      <c r="D13" s="18"/>
      <c r="E13" s="18"/>
      <c r="F13" s="18"/>
      <c r="G13" s="18"/>
      <c r="H13" s="18"/>
    </row>
    <row r="14" customFormat="false" ht="25.5" hidden="false" customHeight="true" outlineLevel="0" collapsed="false">
      <c r="B14" s="19" t="str">
        <f aca="false">IF(Inputs!B15="Yes","Includes the SFTP option ("&amp;TEXT(Inputs!B16,"$#,##0")&amp;IF(Inputs!B17="Annual"," a year"," one-off")&amp;").","SFTP option not included. Select it on the Inputs tab to add automatic bank file transfer.")</f>
        <v>SFTP option not included. Select it on the Inputs tab to add automatic bank file transfer.</v>
      </c>
      <c r="C14" s="19"/>
      <c r="D14" s="19"/>
      <c r="E14" s="19"/>
      <c r="F14" s="19"/>
      <c r="G14" s="19"/>
      <c r="H14" s="19"/>
    </row>
    <row r="15" customFormat="false" ht="15" hidden="false" customHeight="false" outlineLevel="0" collapsed="false">
      <c r="B15" s="20" t="s">
        <v>13</v>
      </c>
      <c r="C15" s="21"/>
      <c r="D15" s="21"/>
      <c r="E15" s="21"/>
      <c r="F15" s="21"/>
      <c r="G15" s="21"/>
      <c r="H15" s="21"/>
    </row>
    <row r="16" customFormat="false" ht="15" hidden="false" customHeight="false" outlineLevel="0" collapsed="false">
      <c r="B16" s="22"/>
      <c r="C16" s="23" t="s">
        <v>14</v>
      </c>
      <c r="D16" s="23" t="s">
        <v>15</v>
      </c>
      <c r="E16" s="23" t="s">
        <v>16</v>
      </c>
      <c r="F16" s="23" t="s">
        <v>17</v>
      </c>
      <c r="G16" s="23" t="s">
        <v>18</v>
      </c>
      <c r="H16" s="23" t="s">
        <v>19</v>
      </c>
    </row>
    <row r="17" customFormat="false" ht="15" hidden="false" customHeight="false" outlineLevel="0" collapsed="false">
      <c r="B17" s="24" t="s">
        <v>20</v>
      </c>
      <c r="C17" s="25" t="n">
        <f aca="false">Calculations!B20</f>
        <v>4109.12</v>
      </c>
      <c r="D17" s="25" t="n">
        <f aca="false">Calculations!C20</f>
        <v>4109.12</v>
      </c>
      <c r="E17" s="25" t="n">
        <f aca="false">Calculations!D20</f>
        <v>4109.12</v>
      </c>
      <c r="F17" s="25" t="n">
        <f aca="false">Calculations!E20</f>
        <v>4109.12</v>
      </c>
      <c r="G17" s="25" t="n">
        <f aca="false">Calculations!F20</f>
        <v>4109.12</v>
      </c>
      <c r="H17" s="25" t="n">
        <f aca="false">Calculations!G20</f>
        <v>20545.6</v>
      </c>
    </row>
    <row r="18" customFormat="false" ht="15" hidden="false" customHeight="false" outlineLevel="0" collapsed="false">
      <c r="B18" s="24" t="s">
        <v>21</v>
      </c>
      <c r="C18" s="25" t="n">
        <f aca="false">Calculations!B22</f>
        <v>3309.12</v>
      </c>
      <c r="D18" s="25" t="n">
        <f aca="false">Calculations!C22</f>
        <v>3309.12</v>
      </c>
      <c r="E18" s="25" t="n">
        <f aca="false">Calculations!D22</f>
        <v>3309.12</v>
      </c>
      <c r="F18" s="25" t="n">
        <f aca="false">Calculations!E22</f>
        <v>3309.12</v>
      </c>
      <c r="G18" s="25" t="n">
        <f aca="false">Calculations!F22</f>
        <v>3309.12</v>
      </c>
      <c r="H18" s="25" t="n">
        <f aca="false">Calculations!G22</f>
        <v>16545.6</v>
      </c>
    </row>
    <row r="19" customFormat="false" ht="15" hidden="false" customHeight="false" outlineLevel="0" collapsed="false">
      <c r="B19" s="24" t="s">
        <v>22</v>
      </c>
      <c r="C19" s="25" t="n">
        <f aca="false">Calculations!B23</f>
        <v>429.12</v>
      </c>
      <c r="D19" s="25" t="n">
        <f aca="false">Calculations!C23</f>
        <v>429.12</v>
      </c>
      <c r="E19" s="25" t="n">
        <f aca="false">Calculations!D23</f>
        <v>429.12</v>
      </c>
      <c r="F19" s="25" t="n">
        <f aca="false">Calculations!E23</f>
        <v>429.12</v>
      </c>
      <c r="G19" s="25" t="n">
        <f aca="false">Calculations!F23</f>
        <v>429.12</v>
      </c>
      <c r="H19" s="25" t="n">
        <f aca="false">Calculations!G23</f>
        <v>2145.6</v>
      </c>
    </row>
    <row r="20" customFormat="false" ht="15" hidden="false" customHeight="false" outlineLevel="0" collapsed="false">
      <c r="B20" s="24" t="s">
        <v>23</v>
      </c>
      <c r="C20" s="25" t="n">
        <f aca="false">Calculations!B24</f>
        <v>2880</v>
      </c>
      <c r="D20" s="25" t="n">
        <f aca="false">Calculations!C24</f>
        <v>2880</v>
      </c>
      <c r="E20" s="25" t="n">
        <f aca="false">Calculations!D24</f>
        <v>2880</v>
      </c>
      <c r="F20" s="25" t="n">
        <f aca="false">Calculations!E24</f>
        <v>2880</v>
      </c>
      <c r="G20" s="25" t="n">
        <f aca="false">Calculations!F24</f>
        <v>2880</v>
      </c>
      <c r="H20" s="25" t="n">
        <f aca="false">Calculations!G24</f>
        <v>14400</v>
      </c>
    </row>
    <row r="21" customFormat="false" ht="15" hidden="false" customHeight="false" outlineLevel="0" collapsed="false">
      <c r="B21" s="24" t="s">
        <v>24</v>
      </c>
      <c r="C21" s="25" t="n">
        <f aca="false">Calculations!B31</f>
        <v>1500</v>
      </c>
      <c r="D21" s="25" t="n">
        <f aca="false">Calculations!C31</f>
        <v>1500</v>
      </c>
      <c r="E21" s="25" t="n">
        <f aca="false">Calculations!D31</f>
        <v>1500</v>
      </c>
      <c r="F21" s="25" t="n">
        <f aca="false">Calculations!E31</f>
        <v>1500</v>
      </c>
      <c r="G21" s="25" t="n">
        <f aca="false">Calculations!F31</f>
        <v>1500</v>
      </c>
      <c r="H21" s="25" t="n">
        <f aca="false">Calculations!G31</f>
        <v>7500</v>
      </c>
    </row>
    <row r="22" customFormat="false" ht="15" hidden="false" customHeight="false" outlineLevel="0" collapsed="false">
      <c r="B22" s="26" t="s">
        <v>25</v>
      </c>
      <c r="C22" s="27" t="n">
        <f aca="false">Calculations!B32</f>
        <v>1809.12</v>
      </c>
      <c r="D22" s="27" t="n">
        <f aca="false">Calculations!C32</f>
        <v>1809.12</v>
      </c>
      <c r="E22" s="27" t="n">
        <f aca="false">Calculations!D32</f>
        <v>1809.12</v>
      </c>
      <c r="F22" s="27" t="n">
        <f aca="false">Calculations!E32</f>
        <v>1809.12</v>
      </c>
      <c r="G22" s="27" t="n">
        <f aca="false">Calculations!F32</f>
        <v>1809.12</v>
      </c>
      <c r="H22" s="27" t="n">
        <f aca="false">Calculations!G32</f>
        <v>9045.6</v>
      </c>
    </row>
    <row r="23" customFormat="false" ht="15" hidden="false" customHeight="false" outlineLevel="0" collapsed="false">
      <c r="B23" s="6" t="s">
        <v>26</v>
      </c>
      <c r="C23" s="28" t="n">
        <f aca="false">Calculations!B33</f>
        <v>1809.12</v>
      </c>
      <c r="D23" s="28" t="n">
        <f aca="false">Calculations!C33</f>
        <v>3618.24</v>
      </c>
      <c r="E23" s="28" t="n">
        <f aca="false">Calculations!D33</f>
        <v>5427.36</v>
      </c>
      <c r="F23" s="28" t="n">
        <f aca="false">Calculations!E33</f>
        <v>7236.48</v>
      </c>
      <c r="G23" s="28" t="n">
        <f aca="false">Calculations!F33</f>
        <v>9045.6</v>
      </c>
    </row>
    <row r="25" customFormat="false" ht="15" hidden="false" customHeight="false" outlineLevel="0" collapsed="false">
      <c r="B25" s="29" t="s">
        <v>27</v>
      </c>
      <c r="C25" s="29" t="s">
        <v>14</v>
      </c>
      <c r="D25" s="29" t="s">
        <v>15</v>
      </c>
      <c r="E25" s="29" t="s">
        <v>16</v>
      </c>
      <c r="F25" s="29" t="s">
        <v>17</v>
      </c>
      <c r="G25" s="29" t="s">
        <v>18</v>
      </c>
    </row>
    <row r="43" customFormat="false" ht="15" hidden="false" customHeight="false" outlineLevel="0" collapsed="false">
      <c r="B43" s="20" t="s">
        <v>28</v>
      </c>
      <c r="C43" s="21"/>
      <c r="D43" s="21"/>
      <c r="E43" s="21"/>
      <c r="F43" s="21"/>
      <c r="G43" s="21"/>
      <c r="H43" s="21"/>
    </row>
    <row r="44" customFormat="false" ht="15" hidden="false" customHeight="false" outlineLevel="0" collapsed="false">
      <c r="B44" s="24" t="s">
        <v>29</v>
      </c>
      <c r="D44" s="30" t="n">
        <f aca="false">Calculations!B23</f>
        <v>429.12</v>
      </c>
      <c r="E44" s="6" t="s">
        <v>30</v>
      </c>
    </row>
    <row r="45" customFormat="false" ht="15" hidden="false" customHeight="false" outlineLevel="0" collapsed="false">
      <c r="B45" s="24" t="s">
        <v>31</v>
      </c>
      <c r="D45" s="30" t="n">
        <f aca="false">Calculations!B24</f>
        <v>2880</v>
      </c>
      <c r="E45" s="6" t="str">
        <f aca="false">TEXT(Calculations!B42,"#,##0")&amp;" hours freed for higher-value work."</f>
        <v>72 hours freed for higher-value work.</v>
      </c>
    </row>
    <row r="46" customFormat="false" ht="15" hidden="false" customHeight="false" outlineLevel="0" collapsed="false">
      <c r="B46" s="24" t="s">
        <v>32</v>
      </c>
      <c r="D46" s="31" t="n">
        <f aca="false">Calculations!B43</f>
        <v>18.1317087322309</v>
      </c>
      <c r="E46" s="6" t="str">
        <f aca="false">IF(ISNUMBER(Calculations!B44),"On cash savings alone: "&amp;TEXT(Calculations!B44,"0.0")&amp;" payments a month.","Cash savings alone do not cover the software cost at these inputs.")</f>
        <v>On cash savings alone: 139.8 payments a month.</v>
      </c>
    </row>
    <row r="47" customFormat="false" ht="15" hidden="false" customHeight="false" outlineLevel="0" collapsed="false">
      <c r="B47" s="24" t="s">
        <v>33</v>
      </c>
      <c r="D47" s="32" t="n">
        <f aca="false">Calculations!D10</f>
        <v>0.870322019147084</v>
      </c>
      <c r="E47" s="6" t="s">
        <v>34</v>
      </c>
    </row>
    <row r="49" customFormat="false" ht="15" hidden="false" customHeight="false" outlineLevel="0" collapsed="false">
      <c r="B49" s="20" t="s">
        <v>35</v>
      </c>
      <c r="C49" s="21"/>
      <c r="D49" s="21"/>
      <c r="E49" s="21"/>
      <c r="F49" s="21"/>
      <c r="G49" s="21"/>
      <c r="H49" s="21"/>
    </row>
    <row r="50" customFormat="false" ht="15" hidden="false" customHeight="false" outlineLevel="0" collapsed="false">
      <c r="B50" s="24" t="s">
        <v>36</v>
      </c>
    </row>
    <row r="51" customFormat="false" ht="15" hidden="false" customHeight="false" outlineLevel="0" collapsed="false">
      <c r="B51" s="24" t="s">
        <v>37</v>
      </c>
    </row>
    <row r="52" customFormat="false" ht="15" hidden="false" customHeight="false" outlineLevel="0" collapsed="false">
      <c r="B52" s="24" t="s">
        <v>38</v>
      </c>
    </row>
    <row r="53" customFormat="false" ht="15" hidden="false" customHeight="false" outlineLevel="0" collapsed="false">
      <c r="B53" s="24" t="s">
        <v>39</v>
      </c>
    </row>
    <row r="57" customFormat="false" ht="39.75" hidden="false" customHeight="true" outlineLevel="0" collapsed="false">
      <c r="B57" s="33" t="s">
        <v>40</v>
      </c>
      <c r="C57" s="33"/>
      <c r="D57" s="33"/>
      <c r="E57" s="33"/>
      <c r="F57" s="33"/>
    </row>
  </sheetData>
  <sheetProtection sheet="true"/>
  <mergeCells count="13">
    <mergeCell ref="B7:H7"/>
    <mergeCell ref="C8:D8"/>
    <mergeCell ref="E8:F8"/>
    <mergeCell ref="G8:H8"/>
    <mergeCell ref="C9:D9"/>
    <mergeCell ref="E9:F9"/>
    <mergeCell ref="G9:H9"/>
    <mergeCell ref="C10:D10"/>
    <mergeCell ref="E10:F10"/>
    <mergeCell ref="G10:H10"/>
    <mergeCell ref="B13:H13"/>
    <mergeCell ref="B14:H14"/>
    <mergeCell ref="B57:F57"/>
  </mergeCells>
  <hyperlinks>
    <hyperlink ref="H6" location="Inputs!A1" display="Go to Inputs tab ›"/>
  </hyperlinks>
  <printOptions headings="false" gridLines="false" gridLinesSet="true" horizontalCentered="false" verticalCentered="false"/>
  <pageMargins left="0.5" right="0.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6"/>
    <col collapsed="false" customWidth="true" hidden="false" outlineLevel="0" max="3" min="3" style="0" width="3"/>
    <col collapsed="false" customWidth="true" hidden="false" outlineLevel="0" max="4" min="4" style="0" width="62"/>
  </cols>
  <sheetData>
    <row r="1" customFormat="false" ht="17.35" hidden="false" customHeight="false" outlineLevel="0" collapsed="false">
      <c r="A1" s="34" t="s">
        <v>41</v>
      </c>
    </row>
    <row r="2" customFormat="false" ht="15" hidden="false" customHeight="false" outlineLevel="0" collapsed="false">
      <c r="A2" s="6" t="s">
        <v>42</v>
      </c>
    </row>
    <row r="3" customFormat="false" ht="15" hidden="false" customHeight="false" outlineLevel="0" collapsed="false">
      <c r="A3" s="3" t="s">
        <v>43</v>
      </c>
      <c r="B3" s="35" t="s">
        <v>44</v>
      </c>
      <c r="D3" s="6" t="s">
        <v>45</v>
      </c>
    </row>
    <row r="5" customFormat="false" ht="15" hidden="false" customHeight="false" outlineLevel="0" collapsed="false">
      <c r="A5" s="20" t="s">
        <v>46</v>
      </c>
      <c r="B5" s="21"/>
      <c r="C5" s="21"/>
      <c r="D5" s="21"/>
    </row>
    <row r="6" customFormat="false" ht="15" hidden="false" customHeight="false" outlineLevel="0" collapsed="false">
      <c r="A6" s="24" t="s">
        <v>47</v>
      </c>
      <c r="B6" s="36" t="s">
        <v>48</v>
      </c>
    </row>
    <row r="7" customFormat="false" ht="15" hidden="false" customHeight="false" outlineLevel="0" collapsed="false">
      <c r="A7" s="24" t="s">
        <v>3</v>
      </c>
      <c r="B7" s="36" t="s">
        <v>49</v>
      </c>
    </row>
    <row r="8" customFormat="false" ht="15" hidden="false" customHeight="false" outlineLevel="0" collapsed="false">
      <c r="A8" s="24" t="s">
        <v>5</v>
      </c>
      <c r="B8" s="37" t="n">
        <f aca="true">TODAY()</f>
        <v>46313</v>
      </c>
    </row>
    <row r="10" customFormat="false" ht="15" hidden="false" customHeight="false" outlineLevel="0" collapsed="false">
      <c r="A10" s="20" t="s">
        <v>50</v>
      </c>
      <c r="B10" s="21"/>
      <c r="C10" s="21"/>
      <c r="D10" s="21"/>
    </row>
    <row r="11" customFormat="false" ht="15" hidden="false" customHeight="false" outlineLevel="0" collapsed="false">
      <c r="A11" s="24" t="s">
        <v>4</v>
      </c>
      <c r="B11" s="36" t="s">
        <v>51</v>
      </c>
      <c r="D11" s="6" t="str">
        <f aca="false">IF(ISNUMBER(MATCH(B11,PriceCountries,0)),"Local price list applies.","No local price list: US pricing (USD) applied.")</f>
        <v>Local price list applies.</v>
      </c>
    </row>
    <row r="12" customFormat="false" ht="15" hidden="false" customHeight="false" outlineLevel="0" collapsed="false">
      <c r="A12" s="24" t="s">
        <v>52</v>
      </c>
      <c r="B12" s="38" t="str">
        <f aca="false">IF(ISNUMBER(MATCH(B11,PriceCountries,0)),B11,"USA")</f>
        <v>USA</v>
      </c>
    </row>
    <row r="13" customFormat="false" ht="15" hidden="false" customHeight="false" outlineLevel="0" collapsed="false">
      <c r="A13" s="24" t="s">
        <v>53</v>
      </c>
      <c r="B13" s="38" t="str">
        <f aca="false">INDEX(PriceCur,MATCH(B12,PriceCountries,0))</f>
        <v>USD</v>
      </c>
    </row>
    <row r="14" customFormat="false" ht="15" hidden="false" customHeight="false" outlineLevel="0" collapsed="false">
      <c r="A14" s="24" t="s">
        <v>54</v>
      </c>
      <c r="B14" s="39" t="n">
        <f aca="false">INDEX(PriceSub,MATCH(B12,PriceCountries,0))</f>
        <v>1500</v>
      </c>
    </row>
    <row r="15" customFormat="false" ht="15" hidden="false" customHeight="false" outlineLevel="0" collapsed="false">
      <c r="A15" s="24" t="s">
        <v>55</v>
      </c>
      <c r="B15" s="40" t="s">
        <v>56</v>
      </c>
    </row>
    <row r="16" customFormat="false" ht="15" hidden="false" customHeight="false" outlineLevel="0" collapsed="false">
      <c r="A16" s="24" t="s">
        <v>57</v>
      </c>
      <c r="B16" s="39" t="n">
        <f aca="false">IF(B15="Yes",INDEX(PriceSFTP,MATCH(B12,PriceCountries,0)),0)</f>
        <v>0</v>
      </c>
    </row>
    <row r="17" customFormat="false" ht="15" hidden="false" customHeight="false" outlineLevel="0" collapsed="false">
      <c r="A17" s="24" t="s">
        <v>58</v>
      </c>
      <c r="B17" s="38" t="str">
        <f aca="false">Prices!B9</f>
        <v>Annual</v>
      </c>
      <c r="D17" s="6" t="str">
        <f aca="false">IF(B15="Yes",IF(B17="Annual","Charged every year with the subscription.","Charged once, in Year 1."),"Not included.")</f>
        <v>Not included.</v>
      </c>
    </row>
    <row r="18" customFormat="false" ht="15" hidden="false" customHeight="false" outlineLevel="0" collapsed="false">
      <c r="A18" s="3" t="s">
        <v>59</v>
      </c>
      <c r="B18" s="41" t="n">
        <f aca="false">B14+B16</f>
        <v>1500</v>
      </c>
    </row>
    <row r="20" customFormat="false" ht="15" hidden="false" customHeight="false" outlineLevel="0" collapsed="false">
      <c r="A20" s="20" t="s">
        <v>60</v>
      </c>
      <c r="B20" s="21"/>
      <c r="C20" s="21"/>
      <c r="D20" s="21"/>
    </row>
    <row r="21" customFormat="false" ht="15" hidden="false" customHeight="false" outlineLevel="0" collapsed="false">
      <c r="A21" s="24" t="s">
        <v>61</v>
      </c>
      <c r="B21" s="42" t="n">
        <v>40</v>
      </c>
    </row>
    <row r="22" customFormat="false" ht="15" hidden="false" customHeight="false" outlineLevel="0" collapsed="false">
      <c r="A22" s="24" t="s">
        <v>62</v>
      </c>
      <c r="B22" s="43" t="n">
        <v>40</v>
      </c>
    </row>
    <row r="23" customFormat="false" ht="15" hidden="false" customHeight="false" outlineLevel="0" collapsed="false">
      <c r="A23" s="24" t="s">
        <v>63</v>
      </c>
      <c r="B23" s="42" t="n">
        <v>1</v>
      </c>
    </row>
    <row r="24" customFormat="false" ht="15" hidden="false" customHeight="false" outlineLevel="0" collapsed="false">
      <c r="A24" s="24" t="s">
        <v>64</v>
      </c>
      <c r="B24" s="42" t="n">
        <v>1</v>
      </c>
    </row>
    <row r="25" customFormat="false" ht="15" hidden="false" customHeight="false" outlineLevel="0" collapsed="false">
      <c r="A25" s="24" t="s">
        <v>65</v>
      </c>
      <c r="B25" s="42" t="n">
        <v>0</v>
      </c>
    </row>
    <row r="27" customFormat="false" ht="15" hidden="false" customHeight="false" outlineLevel="0" collapsed="false">
      <c r="A27" s="20" t="s">
        <v>66</v>
      </c>
      <c r="B27" s="21"/>
      <c r="C27" s="21"/>
      <c r="D27" s="21"/>
    </row>
    <row r="28" customFormat="false" ht="15" hidden="false" customHeight="false" outlineLevel="0" collapsed="false">
      <c r="A28" s="24" t="s">
        <v>67</v>
      </c>
      <c r="B28" s="44" t="n">
        <f aca="false">Prices!B18</f>
        <v>0.78</v>
      </c>
      <c r="D28" s="6" t="s">
        <v>68</v>
      </c>
    </row>
    <row r="29" customFormat="false" ht="15" hidden="false" customHeight="false" outlineLevel="0" collapsed="false">
      <c r="A29" s="24" t="s">
        <v>69</v>
      </c>
      <c r="B29" s="45" t="n">
        <f aca="false">Prices!D15</f>
        <v>0.064</v>
      </c>
      <c r="D29" s="6" t="s">
        <v>70</v>
      </c>
    </row>
    <row r="30" customFormat="false" ht="15" hidden="false" customHeight="false" outlineLevel="0" collapsed="false">
      <c r="A30" s="24" t="s">
        <v>71</v>
      </c>
      <c r="B30" s="42" t="n">
        <v>0.05</v>
      </c>
    </row>
    <row r="31" customFormat="false" ht="15" hidden="false" customHeight="false" outlineLevel="0" collapsed="false">
      <c r="A31" s="24" t="s">
        <v>72</v>
      </c>
      <c r="B31" s="42" t="n">
        <v>0</v>
      </c>
    </row>
    <row r="32" customFormat="false" ht="15" hidden="false" customHeight="false" outlineLevel="0" collapsed="false">
      <c r="A32" s="24" t="s">
        <v>73</v>
      </c>
      <c r="B32" s="42" t="n">
        <v>0</v>
      </c>
    </row>
    <row r="33" customFormat="false" ht="15" hidden="false" customHeight="false" outlineLevel="0" collapsed="false">
      <c r="A33" s="24" t="s">
        <v>63</v>
      </c>
      <c r="B33" s="39" t="n">
        <f aca="false">B23</f>
        <v>1</v>
      </c>
    </row>
    <row r="34" customFormat="false" ht="15" hidden="false" customHeight="false" outlineLevel="0" collapsed="false">
      <c r="A34" s="3" t="s">
        <v>74</v>
      </c>
      <c r="B34" s="41" t="n">
        <f aca="false">SUM(B28:B33)</f>
        <v>1.894</v>
      </c>
    </row>
    <row r="36" customFormat="false" ht="15" hidden="false" customHeight="false" outlineLevel="0" collapsed="false">
      <c r="A36" s="20" t="s">
        <v>75</v>
      </c>
      <c r="B36" s="21"/>
      <c r="C36" s="21"/>
      <c r="D36" s="21"/>
    </row>
    <row r="37" customFormat="false" ht="15" hidden="false" customHeight="false" outlineLevel="0" collapsed="false">
      <c r="A37" s="24" t="s">
        <v>76</v>
      </c>
      <c r="B37" s="46" t="n">
        <v>5</v>
      </c>
    </row>
    <row r="38" customFormat="false" ht="15" hidden="false" customHeight="false" outlineLevel="0" collapsed="false">
      <c r="A38" s="24" t="s">
        <v>77</v>
      </c>
      <c r="B38" s="46" t="n">
        <v>2</v>
      </c>
    </row>
    <row r="39" customFormat="false" ht="15" hidden="false" customHeight="false" outlineLevel="0" collapsed="false">
      <c r="A39" s="24" t="s">
        <v>78</v>
      </c>
      <c r="B39" s="46" t="n">
        <v>3</v>
      </c>
    </row>
    <row r="40" customFormat="false" ht="15" hidden="false" customHeight="false" outlineLevel="0" collapsed="false">
      <c r="A40" s="3" t="s">
        <v>79</v>
      </c>
      <c r="B40" s="47" t="n">
        <f aca="false">SUM(B37:B39)</f>
        <v>10</v>
      </c>
    </row>
    <row r="41" customFormat="false" ht="15" hidden="false" customHeight="false" outlineLevel="0" collapsed="false">
      <c r="A41" s="24" t="s">
        <v>80</v>
      </c>
      <c r="B41" s="46" t="n">
        <v>1</v>
      </c>
    </row>
    <row r="43" customFormat="false" ht="15" hidden="false" customHeight="false" outlineLevel="0" collapsed="false">
      <c r="A43" s="20" t="s">
        <v>81</v>
      </c>
      <c r="B43" s="21"/>
      <c r="C43" s="21"/>
      <c r="D43" s="21"/>
    </row>
    <row r="44" customFormat="false" ht="15" hidden="false" customHeight="false" outlineLevel="0" collapsed="false">
      <c r="A44" s="24" t="s">
        <v>82</v>
      </c>
    </row>
    <row r="45" customFormat="false" ht="15" hidden="false" customHeight="false" outlineLevel="0" collapsed="false">
      <c r="A45" s="24" t="s">
        <v>83</v>
      </c>
      <c r="B45" s="48" t="n">
        <v>1</v>
      </c>
    </row>
    <row r="46" customFormat="false" ht="15" hidden="false" customHeight="false" outlineLevel="0" collapsed="false">
      <c r="A46" s="24" t="s">
        <v>84</v>
      </c>
      <c r="B46" s="48" t="n">
        <v>1</v>
      </c>
    </row>
    <row r="47" customFormat="false" ht="15" hidden="false" customHeight="false" outlineLevel="0" collapsed="false">
      <c r="A47" s="24" t="s">
        <v>85</v>
      </c>
      <c r="B47" s="48" t="n">
        <v>1</v>
      </c>
    </row>
    <row r="48" customFormat="false" ht="15" hidden="false" customHeight="false" outlineLevel="0" collapsed="false">
      <c r="A48" s="24" t="s">
        <v>86</v>
      </c>
      <c r="B48" s="48" t="n">
        <v>1</v>
      </c>
    </row>
    <row r="49" customFormat="false" ht="15" hidden="false" customHeight="false" outlineLevel="0" collapsed="false">
      <c r="A49" s="24" t="s">
        <v>87</v>
      </c>
      <c r="B49" s="48" t="n">
        <v>1</v>
      </c>
    </row>
    <row r="50" customFormat="false" ht="15" hidden="false" customHeight="false" outlineLevel="0" collapsed="false">
      <c r="A50" s="24" t="s">
        <v>88</v>
      </c>
      <c r="B50" s="48" t="n">
        <v>0</v>
      </c>
    </row>
    <row r="51" customFormat="false" ht="15" hidden="false" customHeight="false" outlineLevel="0" collapsed="false">
      <c r="A51" s="24" t="s">
        <v>89</v>
      </c>
      <c r="B51" s="48" t="n">
        <v>0</v>
      </c>
    </row>
  </sheetData>
  <sheetProtection sheet="true"/>
  <dataValidations count="4">
    <dataValidation allowBlank="false" error="Pick a country from the list." errorStyle="stop" errorTitle="Country" operator="between" showDropDown="false" showErrorMessage="true" showInputMessage="false" sqref="B11" type="list">
      <formula1>"USA,Canada,Australia,New Zealand,United Kingdom,Other"</formula1>
      <formula2>0</formula2>
    </dataValidation>
    <dataValidation allowBlank="false" error="Pick Yes or No." errorStyle="stop" operator="between" showDropDown="false" showErrorMessage="true" showInputMessage="false" sqref="B15" type="list">
      <formula1>"Yes,No"</formula1>
      <formula2>0</formula2>
    </dataValidation>
    <dataValidation allowBlank="false" error="Enter a percentage between 0% and 100%." errorStyle="stop" operator="between" showDropDown="false" showErrorMessage="true" showInputMessage="false" sqref="B45:B49" type="decimal">
      <formula1>0</formula1>
      <formula2>1</formula2>
    </dataValidation>
    <dataValidation allowBlank="false" error="Enter zero or a positive number." errorStyle="stop" operator="greaterThanOrEqual" showDropDown="false" showErrorMessage="true" showInputMessage="false" sqref="B21:B25 B30:B32 B37:B39 B41" type="decimal">
      <formula1>0</formula1>
      <formula2>0</formula2>
    </dataValidation>
  </dataValidations>
  <printOptions headings="false" gridLines="false" gridLinesSet="true" horizontalCentered="fals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7" min="2" style="0" width="14"/>
  </cols>
  <sheetData>
    <row r="1" customFormat="false" ht="17.35" hidden="false" customHeight="false" outlineLevel="0" collapsed="false">
      <c r="A1" s="34" t="s">
        <v>90</v>
      </c>
    </row>
    <row r="2" customFormat="false" ht="15" hidden="false" customHeight="false" outlineLevel="0" collapsed="false">
      <c r="A2" s="6" t="str">
        <f aca="false">"All amounts in "&amp;Inputs!B13&amp;". No inputs on this tab."</f>
        <v>All amounts in USD. No inputs on this tab.</v>
      </c>
    </row>
    <row r="4" customFormat="false" ht="15" hidden="false" customHeight="false" outlineLevel="0" collapsed="false">
      <c r="A4" s="20" t="s">
        <v>91</v>
      </c>
      <c r="B4" s="21"/>
      <c r="C4" s="21"/>
      <c r="D4" s="21"/>
      <c r="E4" s="21"/>
      <c r="F4" s="21"/>
      <c r="G4" s="21"/>
    </row>
    <row r="5" customFormat="false" ht="15" hidden="false" customHeight="false" outlineLevel="0" collapsed="false">
      <c r="B5" s="23" t="s">
        <v>92</v>
      </c>
      <c r="C5" s="23" t="s">
        <v>93</v>
      </c>
      <c r="D5" s="23" t="s">
        <v>94</v>
      </c>
    </row>
    <row r="6" customFormat="false" ht="15" hidden="false" customHeight="false" outlineLevel="0" collapsed="false">
      <c r="A6" s="24" t="s">
        <v>95</v>
      </c>
      <c r="B6" s="39" t="n">
        <f aca="false">Inputs!B34</f>
        <v>1.894</v>
      </c>
      <c r="C6" s="39" t="n">
        <f aca="false">Inputs!B24</f>
        <v>1</v>
      </c>
      <c r="D6" s="39" t="n">
        <f aca="false">B6-C6</f>
        <v>0.894</v>
      </c>
    </row>
    <row r="7" customFormat="false" ht="15" hidden="false" customHeight="false" outlineLevel="0" collapsed="false">
      <c r="A7" s="24" t="s">
        <v>96</v>
      </c>
      <c r="B7" s="49" t="n">
        <f aca="false">Inputs!B40</f>
        <v>10</v>
      </c>
      <c r="C7" s="49" t="n">
        <f aca="false">Inputs!B41</f>
        <v>1</v>
      </c>
      <c r="D7" s="49" t="n">
        <f aca="false">B7-C7</f>
        <v>9</v>
      </c>
    </row>
    <row r="8" customFormat="false" ht="15" hidden="false" customHeight="false" outlineLevel="0" collapsed="false">
      <c r="A8" s="24" t="s">
        <v>97</v>
      </c>
      <c r="B8" s="39" t="n">
        <f aca="false">B7/60*Inputs!$B$21</f>
        <v>6.66666666666667</v>
      </c>
      <c r="C8" s="39" t="n">
        <f aca="false">C7/60*Inputs!$B$21</f>
        <v>0.666666666666667</v>
      </c>
      <c r="D8" s="39" t="n">
        <f aca="false">B8-C8</f>
        <v>6</v>
      </c>
    </row>
    <row r="9" customFormat="false" ht="15" hidden="false" customHeight="false" outlineLevel="0" collapsed="false">
      <c r="A9" s="3" t="s">
        <v>98</v>
      </c>
      <c r="B9" s="41" t="n">
        <f aca="false">B6+B8</f>
        <v>8.56066666666667</v>
      </c>
      <c r="C9" s="41" t="n">
        <f aca="false">C6+C8</f>
        <v>1.66666666666667</v>
      </c>
      <c r="D9" s="41" t="n">
        <f aca="false">D6+D8</f>
        <v>6.894</v>
      </c>
    </row>
    <row r="10" customFormat="false" ht="15" hidden="false" customHeight="false" outlineLevel="0" collapsed="false">
      <c r="A10" s="24" t="s">
        <v>99</v>
      </c>
      <c r="D10" s="50" t="n">
        <f aca="false">IF(D9&lt;&gt;0,D8/D9,0)</f>
        <v>0.870322019147084</v>
      </c>
    </row>
    <row r="12" customFormat="false" ht="15" hidden="false" customHeight="false" outlineLevel="0" collapsed="false">
      <c r="A12" s="20" t="s">
        <v>13</v>
      </c>
      <c r="B12" s="21"/>
      <c r="C12" s="21"/>
      <c r="D12" s="21"/>
      <c r="E12" s="21"/>
      <c r="F12" s="21"/>
      <c r="G12" s="21"/>
    </row>
    <row r="13" customFormat="false" ht="15" hidden="false" customHeight="false" outlineLevel="0" collapsed="false">
      <c r="B13" s="23" t="s">
        <v>14</v>
      </c>
      <c r="C13" s="23" t="s">
        <v>15</v>
      </c>
      <c r="D13" s="23" t="s">
        <v>16</v>
      </c>
      <c r="E13" s="23" t="s">
        <v>17</v>
      </c>
      <c r="F13" s="23" t="s">
        <v>18</v>
      </c>
      <c r="G13" s="23" t="s">
        <v>19</v>
      </c>
    </row>
    <row r="14" customFormat="false" ht="15" hidden="false" customHeight="false" outlineLevel="0" collapsed="false">
      <c r="A14" s="24" t="s">
        <v>100</v>
      </c>
      <c r="B14" s="51" t="n">
        <v>1</v>
      </c>
      <c r="C14" s="51" t="n">
        <v>2</v>
      </c>
      <c r="D14" s="51" t="n">
        <v>3</v>
      </c>
      <c r="E14" s="51" t="n">
        <v>4</v>
      </c>
      <c r="F14" s="51" t="n">
        <v>5</v>
      </c>
    </row>
    <row r="15" customFormat="false" ht="15" hidden="false" customHeight="false" outlineLevel="0" collapsed="false">
      <c r="A15" s="24" t="s">
        <v>101</v>
      </c>
      <c r="B15" s="52" t="n">
        <f aca="false">Inputs!$B$22*12</f>
        <v>480</v>
      </c>
      <c r="C15" s="52" t="n">
        <f aca="false">Inputs!$B$22*12</f>
        <v>480</v>
      </c>
      <c r="D15" s="52" t="n">
        <f aca="false">Inputs!$B$22*12</f>
        <v>480</v>
      </c>
      <c r="E15" s="52" t="n">
        <f aca="false">Inputs!$B$22*12</f>
        <v>480</v>
      </c>
      <c r="F15" s="52" t="n">
        <f aca="false">Inputs!$B$22*12</f>
        <v>480</v>
      </c>
      <c r="G15" s="52" t="n">
        <f aca="false">SUM(B15:F15)</f>
        <v>2400</v>
      </c>
    </row>
    <row r="16" customFormat="false" ht="15" hidden="false" customHeight="false" outlineLevel="0" collapsed="false">
      <c r="A16" s="24" t="s">
        <v>102</v>
      </c>
      <c r="B16" s="53" t="n">
        <f aca="false">Inputs!B45</f>
        <v>1</v>
      </c>
      <c r="C16" s="53" t="n">
        <f aca="false">Inputs!B46</f>
        <v>1</v>
      </c>
      <c r="D16" s="53" t="n">
        <f aca="false">Inputs!B47</f>
        <v>1</v>
      </c>
      <c r="E16" s="53" t="n">
        <f aca="false">Inputs!B48</f>
        <v>1</v>
      </c>
      <c r="F16" s="53" t="n">
        <f aca="false">Inputs!B49</f>
        <v>1</v>
      </c>
    </row>
    <row r="17" customFormat="false" ht="15" hidden="false" customHeight="false" outlineLevel="0" collapsed="false">
      <c r="A17" s="24" t="s">
        <v>103</v>
      </c>
      <c r="B17" s="52" t="n">
        <f aca="false">B15*B16</f>
        <v>480</v>
      </c>
      <c r="C17" s="52" t="n">
        <f aca="false">C15*C16</f>
        <v>480</v>
      </c>
      <c r="D17" s="52" t="n">
        <f aca="false">D15*D16</f>
        <v>480</v>
      </c>
      <c r="E17" s="52" t="n">
        <f aca="false">E15*E16</f>
        <v>480</v>
      </c>
      <c r="F17" s="52" t="n">
        <f aca="false">F15*F16</f>
        <v>480</v>
      </c>
      <c r="G17" s="52" t="n">
        <f aca="false">SUM(B17:F17)</f>
        <v>2400</v>
      </c>
    </row>
    <row r="18" customFormat="false" ht="15" hidden="false" customHeight="false" outlineLevel="0" collapsed="false">
      <c r="A18" s="24" t="s">
        <v>104</v>
      </c>
      <c r="B18" s="39" t="n">
        <f aca="false">Inputs!$B$21*(1+Inputs!$B$50)^(B14-1)</f>
        <v>40</v>
      </c>
      <c r="C18" s="39" t="n">
        <f aca="false">Inputs!$B$21*(1+Inputs!$B$50)^(C14-1)</f>
        <v>40</v>
      </c>
      <c r="D18" s="39" t="n">
        <f aca="false">Inputs!$B$21*(1+Inputs!$B$50)^(D14-1)</f>
        <v>40</v>
      </c>
      <c r="E18" s="39" t="n">
        <f aca="false">Inputs!$B$21*(1+Inputs!$B$50)^(E14-1)</f>
        <v>40</v>
      </c>
      <c r="F18" s="39" t="n">
        <f aca="false">Inputs!$B$21*(1+Inputs!$B$50)^(F14-1)</f>
        <v>40</v>
      </c>
    </row>
    <row r="20" customFormat="false" ht="15" hidden="false" customHeight="false" outlineLevel="0" collapsed="false">
      <c r="A20" s="24" t="s">
        <v>105</v>
      </c>
      <c r="B20" s="25" t="n">
        <f aca="false">B15*(Inputs!$B$34+Inputs!$B$40/60*B18)</f>
        <v>4109.12</v>
      </c>
      <c r="C20" s="25" t="n">
        <f aca="false">C15*(Inputs!$B$34+Inputs!$B$40/60*C18)</f>
        <v>4109.12</v>
      </c>
      <c r="D20" s="25" t="n">
        <f aca="false">D15*(Inputs!$B$34+Inputs!$B$40/60*D18)</f>
        <v>4109.12</v>
      </c>
      <c r="E20" s="25" t="n">
        <f aca="false">E15*(Inputs!$B$34+Inputs!$B$40/60*E18)</f>
        <v>4109.12</v>
      </c>
      <c r="F20" s="25" t="n">
        <f aca="false">F15*(Inputs!$B$34+Inputs!$B$40/60*F18)</f>
        <v>4109.12</v>
      </c>
      <c r="G20" s="25" t="n">
        <f aca="false">SUM(B20:F20)</f>
        <v>20545.6</v>
      </c>
    </row>
    <row r="21" customFormat="false" ht="15" hidden="false" customHeight="false" outlineLevel="0" collapsed="false">
      <c r="A21" s="24" t="s">
        <v>106</v>
      </c>
      <c r="B21" s="25" t="n">
        <f aca="false">(B15-B17)*(Inputs!$B$34+Inputs!$B$40/60*B18)+B17*(Inputs!$B$24+Inputs!$B$41/60*B18)</f>
        <v>800</v>
      </c>
      <c r="C21" s="25" t="n">
        <f aca="false">(C15-C17)*(Inputs!$B$34+Inputs!$B$40/60*C18)+C17*(Inputs!$B$24+Inputs!$B$41/60*C18)</f>
        <v>800</v>
      </c>
      <c r="D21" s="25" t="n">
        <f aca="false">(D15-D17)*(Inputs!$B$34+Inputs!$B$40/60*D18)+D17*(Inputs!$B$24+Inputs!$B$41/60*D18)</f>
        <v>800</v>
      </c>
      <c r="E21" s="25" t="n">
        <f aca="false">(E15-E17)*(Inputs!$B$34+Inputs!$B$40/60*E18)+E17*(Inputs!$B$24+Inputs!$B$41/60*E18)</f>
        <v>800</v>
      </c>
      <c r="F21" s="25" t="n">
        <f aca="false">(F15-F17)*(Inputs!$B$34+Inputs!$B$40/60*F18)+F17*(Inputs!$B$24+Inputs!$B$41/60*F18)</f>
        <v>800</v>
      </c>
      <c r="G21" s="25" t="n">
        <f aca="false">SUM(B21:F21)</f>
        <v>4000</v>
      </c>
    </row>
    <row r="22" customFormat="false" ht="15" hidden="false" customHeight="false" outlineLevel="0" collapsed="false">
      <c r="A22" s="54" t="s">
        <v>107</v>
      </c>
      <c r="B22" s="55" t="n">
        <f aca="false">B20-B21</f>
        <v>3309.12</v>
      </c>
      <c r="C22" s="55" t="n">
        <f aca="false">C20-C21</f>
        <v>3309.12</v>
      </c>
      <c r="D22" s="55" t="n">
        <f aca="false">D20-D21</f>
        <v>3309.12</v>
      </c>
      <c r="E22" s="55" t="n">
        <f aca="false">E20-E21</f>
        <v>3309.12</v>
      </c>
      <c r="F22" s="55" t="n">
        <f aca="false">F20-F21</f>
        <v>3309.12</v>
      </c>
      <c r="G22" s="55" t="n">
        <f aca="false">SUM(B22:F22)</f>
        <v>16545.6</v>
      </c>
    </row>
    <row r="23" customFormat="false" ht="15" hidden="false" customHeight="false" outlineLevel="0" collapsed="false">
      <c r="A23" s="24" t="s">
        <v>108</v>
      </c>
      <c r="B23" s="25" t="n">
        <f aca="false">B17*(Inputs!$B$34-Inputs!$B$24)</f>
        <v>429.12</v>
      </c>
      <c r="C23" s="25" t="n">
        <f aca="false">C17*(Inputs!$B$34-Inputs!$B$24)</f>
        <v>429.12</v>
      </c>
      <c r="D23" s="25" t="n">
        <f aca="false">D17*(Inputs!$B$34-Inputs!$B$24)</f>
        <v>429.12</v>
      </c>
      <c r="E23" s="25" t="n">
        <f aca="false">E17*(Inputs!$B$34-Inputs!$B$24)</f>
        <v>429.12</v>
      </c>
      <c r="F23" s="25" t="n">
        <f aca="false">F17*(Inputs!$B$34-Inputs!$B$24)</f>
        <v>429.12</v>
      </c>
      <c r="G23" s="25" t="n">
        <f aca="false">SUM(B23:F23)</f>
        <v>2145.6</v>
      </c>
    </row>
    <row r="24" customFormat="false" ht="15" hidden="false" customHeight="false" outlineLevel="0" collapsed="false">
      <c r="A24" s="24" t="s">
        <v>109</v>
      </c>
      <c r="B24" s="25" t="n">
        <f aca="false">B17*(Inputs!$B$40-Inputs!$B$41)/60*B18</f>
        <v>2880</v>
      </c>
      <c r="C24" s="25" t="n">
        <f aca="false">C17*(Inputs!$B$40-Inputs!$B$41)/60*C18</f>
        <v>2880</v>
      </c>
      <c r="D24" s="25" t="n">
        <f aca="false">D17*(Inputs!$B$40-Inputs!$B$41)/60*D18</f>
        <v>2880</v>
      </c>
      <c r="E24" s="25" t="n">
        <f aca="false">E17*(Inputs!$B$40-Inputs!$B$41)/60*E18</f>
        <v>2880</v>
      </c>
      <c r="F24" s="25" t="n">
        <f aca="false">F17*(Inputs!$B$40-Inputs!$B$41)/60*F18</f>
        <v>2880</v>
      </c>
      <c r="G24" s="25" t="n">
        <f aca="false">SUM(B24:F24)</f>
        <v>14400</v>
      </c>
    </row>
    <row r="25" customFormat="false" ht="15" hidden="false" customHeight="false" outlineLevel="0" collapsed="false">
      <c r="A25" s="24" t="s">
        <v>11</v>
      </c>
      <c r="B25" s="52" t="n">
        <f aca="false">B17*(Inputs!$B$40-Inputs!$B$41)/60</f>
        <v>72</v>
      </c>
      <c r="C25" s="52" t="n">
        <f aca="false">C17*(Inputs!$B$40-Inputs!$B$41)/60</f>
        <v>72</v>
      </c>
      <c r="D25" s="52" t="n">
        <f aca="false">D17*(Inputs!$B$40-Inputs!$B$41)/60</f>
        <v>72</v>
      </c>
      <c r="E25" s="52" t="n">
        <f aca="false">E17*(Inputs!$B$40-Inputs!$B$41)/60</f>
        <v>72</v>
      </c>
      <c r="F25" s="52" t="n">
        <f aca="false">F17*(Inputs!$B$40-Inputs!$B$41)/60</f>
        <v>72</v>
      </c>
      <c r="G25" s="52" t="n">
        <f aca="false">SUM(B25:F25)</f>
        <v>360</v>
      </c>
    </row>
    <row r="27" customFormat="false" ht="15" hidden="false" customHeight="false" outlineLevel="0" collapsed="false">
      <c r="A27" s="56" t="s">
        <v>110</v>
      </c>
    </row>
    <row r="28" customFormat="false" ht="15" hidden="false" customHeight="false" outlineLevel="0" collapsed="false">
      <c r="A28" s="24" t="s">
        <v>111</v>
      </c>
      <c r="B28" s="25" t="n">
        <f aca="false">Inputs!$B$14*(1+Inputs!$B$51)^(B14-1)</f>
        <v>1500</v>
      </c>
      <c r="C28" s="25" t="n">
        <f aca="false">Inputs!$B$14*(1+Inputs!$B$51)^(C14-1)</f>
        <v>1500</v>
      </c>
      <c r="D28" s="25" t="n">
        <f aca="false">Inputs!$B$14*(1+Inputs!$B$51)^(D14-1)</f>
        <v>1500</v>
      </c>
      <c r="E28" s="25" t="n">
        <f aca="false">Inputs!$B$14*(1+Inputs!$B$51)^(E14-1)</f>
        <v>1500</v>
      </c>
      <c r="F28" s="25" t="n">
        <f aca="false">Inputs!$B$14*(1+Inputs!$B$51)^(F14-1)</f>
        <v>1500</v>
      </c>
      <c r="G28" s="25" t="n">
        <f aca="false">SUM(B28:F28)</f>
        <v>7500</v>
      </c>
    </row>
    <row r="29" customFormat="false" ht="15" hidden="false" customHeight="false" outlineLevel="0" collapsed="false">
      <c r="A29" s="24" t="s">
        <v>112</v>
      </c>
      <c r="B29" s="25" t="n">
        <f aca="false">IF(Inputs!$B$17="One-off",IF(B14=1,Inputs!$B$16,0),Inputs!$B$16*(1+Inputs!$B$51)^(B14-1))</f>
        <v>0</v>
      </c>
      <c r="C29" s="25" t="n">
        <f aca="false">IF(Inputs!$B$17="One-off",IF(C14=1,Inputs!$B$16,0),Inputs!$B$16*(1+Inputs!$B$51)^(C14-1))</f>
        <v>0</v>
      </c>
      <c r="D29" s="25" t="n">
        <f aca="false">IF(Inputs!$B$17="One-off",IF(D14=1,Inputs!$B$16,0),Inputs!$B$16*(1+Inputs!$B$51)^(D14-1))</f>
        <v>0</v>
      </c>
      <c r="E29" s="25" t="n">
        <f aca="false">IF(Inputs!$B$17="One-off",IF(E14=1,Inputs!$B$16,0),Inputs!$B$16*(1+Inputs!$B$51)^(E14-1))</f>
        <v>0</v>
      </c>
      <c r="F29" s="25" t="n">
        <f aca="false">IF(Inputs!$B$17="One-off",IF(F14=1,Inputs!$B$16,0),Inputs!$B$16*(1+Inputs!$B$51)^(F14-1))</f>
        <v>0</v>
      </c>
      <c r="G29" s="25" t="n">
        <f aca="false">SUM(B29:F29)</f>
        <v>0</v>
      </c>
    </row>
    <row r="30" customFormat="false" ht="15" hidden="false" customHeight="false" outlineLevel="0" collapsed="false">
      <c r="A30" s="24" t="s">
        <v>113</v>
      </c>
      <c r="B30" s="25" t="n">
        <f aca="false">Inputs!$B$25</f>
        <v>0</v>
      </c>
      <c r="C30" s="25" t="n">
        <v>0</v>
      </c>
      <c r="D30" s="25" t="n">
        <v>0</v>
      </c>
      <c r="E30" s="25" t="n">
        <v>0</v>
      </c>
      <c r="F30" s="25" t="n">
        <v>0</v>
      </c>
      <c r="G30" s="25" t="n">
        <f aca="false">SUM(B30:F30)</f>
        <v>0</v>
      </c>
    </row>
    <row r="31" customFormat="false" ht="15" hidden="false" customHeight="false" outlineLevel="0" collapsed="false">
      <c r="A31" s="24" t="s">
        <v>114</v>
      </c>
      <c r="B31" s="57" t="n">
        <f aca="false">SUM(B28:B30)</f>
        <v>1500</v>
      </c>
      <c r="C31" s="57" t="n">
        <f aca="false">SUM(C28:C30)</f>
        <v>1500</v>
      </c>
      <c r="D31" s="57" t="n">
        <f aca="false">SUM(D28:D30)</f>
        <v>1500</v>
      </c>
      <c r="E31" s="57" t="n">
        <f aca="false">SUM(E28:E30)</f>
        <v>1500</v>
      </c>
      <c r="F31" s="57" t="n">
        <f aca="false">SUM(F28:F30)</f>
        <v>1500</v>
      </c>
      <c r="G31" s="57" t="n">
        <f aca="false">SUM(B31:F31)</f>
        <v>7500</v>
      </c>
    </row>
    <row r="32" customFormat="false" ht="15" hidden="false" customHeight="false" outlineLevel="0" collapsed="false">
      <c r="A32" s="54" t="s">
        <v>25</v>
      </c>
      <c r="B32" s="55" t="n">
        <f aca="false">B22-B31</f>
        <v>1809.12</v>
      </c>
      <c r="C32" s="55" t="n">
        <f aca="false">C22-C31</f>
        <v>1809.12</v>
      </c>
      <c r="D32" s="55" t="n">
        <f aca="false">D22-D31</f>
        <v>1809.12</v>
      </c>
      <c r="E32" s="55" t="n">
        <f aca="false">E22-E31</f>
        <v>1809.12</v>
      </c>
      <c r="F32" s="55" t="n">
        <f aca="false">F22-F31</f>
        <v>1809.12</v>
      </c>
      <c r="G32" s="55" t="n">
        <f aca="false">SUM(B32:F32)</f>
        <v>9045.6</v>
      </c>
    </row>
    <row r="33" customFormat="false" ht="15" hidden="false" customHeight="false" outlineLevel="0" collapsed="false">
      <c r="A33" s="24" t="s">
        <v>26</v>
      </c>
      <c r="B33" s="25" t="n">
        <f aca="false">B32</f>
        <v>1809.12</v>
      </c>
      <c r="C33" s="25" t="n">
        <f aca="false">B33+C32</f>
        <v>3618.24</v>
      </c>
      <c r="D33" s="25" t="n">
        <f aca="false">C33+D32</f>
        <v>5427.36</v>
      </c>
      <c r="E33" s="25" t="n">
        <f aca="false">D33+E32</f>
        <v>7236.48</v>
      </c>
      <c r="F33" s="25" t="n">
        <f aca="false">E33+F32</f>
        <v>9045.6</v>
      </c>
    </row>
    <row r="34" customFormat="false" ht="15" hidden="false" customHeight="false" outlineLevel="0" collapsed="false">
      <c r="A34" s="24" t="s">
        <v>115</v>
      </c>
      <c r="B34" s="58" t="n">
        <f aca="false">IF(B33&gt;=0,1,0)</f>
        <v>1</v>
      </c>
      <c r="C34" s="58" t="n">
        <f aca="false">IF(C33&gt;=0,1,0)</f>
        <v>1</v>
      </c>
      <c r="D34" s="58" t="n">
        <f aca="false">IF(D33&gt;=0,1,0)</f>
        <v>1</v>
      </c>
      <c r="E34" s="58" t="n">
        <f aca="false">IF(E33&gt;=0,1,0)</f>
        <v>1</v>
      </c>
      <c r="F34" s="58" t="n">
        <f aca="false">IF(F33&gt;=0,1,0)</f>
        <v>1</v>
      </c>
    </row>
    <row r="36" customFormat="false" ht="15" hidden="false" customHeight="false" outlineLevel="0" collapsed="false">
      <c r="A36" s="20" t="s">
        <v>116</v>
      </c>
      <c r="B36" s="21"/>
      <c r="C36" s="21"/>
      <c r="D36" s="21"/>
      <c r="E36" s="21"/>
      <c r="F36" s="21"/>
      <c r="G36" s="21"/>
    </row>
    <row r="37" customFormat="false" ht="15" hidden="false" customHeight="false" outlineLevel="0" collapsed="false">
      <c r="A37" s="24" t="s">
        <v>8</v>
      </c>
      <c r="B37" s="59" t="n">
        <f aca="false">G32</f>
        <v>9045.6</v>
      </c>
    </row>
    <row r="38" customFormat="false" ht="15" hidden="false" customHeight="false" outlineLevel="0" collapsed="false">
      <c r="A38" s="24" t="s">
        <v>117</v>
      </c>
      <c r="B38" s="59" t="n">
        <f aca="false">B22/12</f>
        <v>275.76</v>
      </c>
    </row>
    <row r="39" customFormat="false" ht="15" hidden="false" customHeight="false" outlineLevel="0" collapsed="false">
      <c r="A39" s="24" t="s">
        <v>118</v>
      </c>
      <c r="B39" s="60" t="n">
        <f aca="false">IFERROR(12*(MATCH(1,B34:F34,0)-1)+12*(INDEX(B31:F31,MATCH(1,B34:F34,0))-(MATCH(1,B34:F34,0)&gt;1)*INDEX(B33:F33,MAX(1,MATCH(1,B34:F34,0)-1)))/INDEX(B22:F22,MATCH(1,B34:F34,0)),"Beyond 5 years")</f>
        <v>5.43951261966928</v>
      </c>
      <c r="C39" s="6" t="s">
        <v>119</v>
      </c>
    </row>
    <row r="40" customFormat="false" ht="15" hidden="false" customHeight="false" outlineLevel="0" collapsed="false">
      <c r="A40" s="24" t="s">
        <v>120</v>
      </c>
      <c r="B40" s="59" t="n">
        <f aca="false">B32/12</f>
        <v>150.76</v>
      </c>
    </row>
    <row r="41" customFormat="false" ht="15" hidden="false" customHeight="false" outlineLevel="0" collapsed="false">
      <c r="A41" s="24" t="s">
        <v>121</v>
      </c>
      <c r="B41" s="61" t="n">
        <f aca="false">IF(G31&gt;0,G32/G31,0)</f>
        <v>1.20608</v>
      </c>
    </row>
    <row r="42" customFormat="false" ht="15" hidden="false" customHeight="false" outlineLevel="0" collapsed="false">
      <c r="A42" s="24" t="s">
        <v>122</v>
      </c>
      <c r="B42" s="62" t="n">
        <f aca="false">B25</f>
        <v>72</v>
      </c>
    </row>
    <row r="43" customFormat="false" ht="15" hidden="false" customHeight="false" outlineLevel="0" collapsed="false">
      <c r="A43" s="24" t="s">
        <v>123</v>
      </c>
      <c r="B43" s="60" t="n">
        <f aca="false">IF(D9&gt;0,(B28+B29)/12/D9,"Never")</f>
        <v>18.1317087322309</v>
      </c>
      <c r="C43" s="6" t="s">
        <v>124</v>
      </c>
    </row>
    <row r="44" customFormat="false" ht="15" hidden="false" customHeight="false" outlineLevel="0" collapsed="false">
      <c r="A44" s="24" t="s">
        <v>125</v>
      </c>
      <c r="B44" s="60" t="n">
        <f aca="false">IF(D6&gt;0,(B28+B29)/12/D6,"Never on cash alone")</f>
        <v>139.821029082774</v>
      </c>
    </row>
  </sheetData>
  <sheetProtection sheet="true"/>
  <printOptions headings="false" gridLines="false" gridLinesSet="true" horizontalCentered="false" verticalCentered="false"/>
  <pageMargins left="0.5" right="0.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3A84F"/>
    <pageSetUpPr fitToPage="true"/>
  </sheetPr>
  <dimension ref="A1:F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4" min="2" style="0" width="16"/>
    <col collapsed="false" customWidth="true" hidden="false" outlineLevel="0" max="5" min="5" style="0" width="14"/>
    <col collapsed="false" customWidth="true" hidden="false" outlineLevel="0" max="6" min="6" style="0" width="40"/>
  </cols>
  <sheetData>
    <row r="1" customFormat="false" ht="17.35" hidden="false" customHeight="false" outlineLevel="0" collapsed="false">
      <c r="A1" s="34" t="s">
        <v>126</v>
      </c>
    </row>
    <row r="2" customFormat="false" ht="15" hidden="false" customHeight="false" outlineLevel="0" collapsed="false">
      <c r="A2" s="6" t="s">
        <v>127</v>
      </c>
    </row>
    <row r="4" customFormat="false" ht="15" hidden="false" customHeight="false" outlineLevel="0" collapsed="false">
      <c r="A4" s="20" t="s">
        <v>128</v>
      </c>
      <c r="B4" s="21"/>
      <c r="C4" s="21"/>
      <c r="D4" s="21"/>
      <c r="E4" s="21"/>
      <c r="F4" s="21"/>
    </row>
    <row r="5" customFormat="false" ht="30" hidden="false" customHeight="true" outlineLevel="0" collapsed="false">
      <c r="A5" s="63" t="s">
        <v>4</v>
      </c>
      <c r="B5" s="63" t="s">
        <v>54</v>
      </c>
      <c r="C5" s="63" t="s">
        <v>112</v>
      </c>
      <c r="D5" s="63" t="s">
        <v>53</v>
      </c>
      <c r="E5" s="63" t="s">
        <v>129</v>
      </c>
      <c r="F5" s="64"/>
    </row>
    <row r="6" customFormat="false" ht="15" hidden="false" customHeight="false" outlineLevel="0" collapsed="false">
      <c r="A6" s="65" t="s">
        <v>51</v>
      </c>
      <c r="B6" s="66" t="n">
        <v>1500</v>
      </c>
      <c r="C6" s="66" t="n">
        <v>500</v>
      </c>
      <c r="D6" s="67" t="s">
        <v>130</v>
      </c>
      <c r="E6" s="68" t="s">
        <v>131</v>
      </c>
      <c r="F6" s="69"/>
    </row>
    <row r="7" customFormat="false" ht="15" hidden="false" customHeight="false" outlineLevel="0" collapsed="false">
      <c r="A7" s="65" t="s">
        <v>132</v>
      </c>
      <c r="B7" s="66" t="n">
        <v>1500</v>
      </c>
      <c r="C7" s="66" t="n">
        <v>500</v>
      </c>
      <c r="D7" s="67" t="s">
        <v>133</v>
      </c>
      <c r="E7" s="68" t="s">
        <v>134</v>
      </c>
      <c r="F7" s="69"/>
    </row>
    <row r="8" customFormat="false" ht="15" hidden="false" customHeight="false" outlineLevel="0" collapsed="false">
      <c r="A8" s="68" t="s">
        <v>135</v>
      </c>
      <c r="B8" s="69"/>
      <c r="C8" s="69"/>
      <c r="D8" s="69"/>
      <c r="E8" s="69"/>
      <c r="F8" s="69"/>
    </row>
    <row r="9" customFormat="false" ht="15" hidden="false" customHeight="false" outlineLevel="0" collapsed="false">
      <c r="A9" s="70" t="s">
        <v>136</v>
      </c>
      <c r="B9" s="67" t="s">
        <v>137</v>
      </c>
      <c r="C9" s="69"/>
      <c r="D9" s="69"/>
      <c r="E9" s="69"/>
      <c r="F9" s="69"/>
    </row>
    <row r="10" customFormat="false" ht="15" hidden="false" customHeight="false" outlineLevel="0" collapsed="false">
      <c r="A10" s="69"/>
      <c r="B10" s="69"/>
      <c r="C10" s="69"/>
      <c r="D10" s="69"/>
      <c r="E10" s="69"/>
      <c r="F10" s="69"/>
    </row>
    <row r="11" customFormat="false" ht="15" hidden="false" customHeight="false" outlineLevel="0" collapsed="false">
      <c r="A11" s="71" t="s">
        <v>138</v>
      </c>
      <c r="B11" s="72"/>
      <c r="C11" s="72"/>
      <c r="D11" s="72"/>
      <c r="E11" s="72"/>
      <c r="F11" s="72"/>
    </row>
    <row r="12" customFormat="false" ht="15" hidden="false" customHeight="false" outlineLevel="0" collapsed="false">
      <c r="A12" s="73" t="s">
        <v>139</v>
      </c>
      <c r="B12" s="73" t="s">
        <v>140</v>
      </c>
      <c r="C12" s="73" t="s">
        <v>141</v>
      </c>
      <c r="D12" s="73" t="s">
        <v>142</v>
      </c>
      <c r="E12" s="73" t="s">
        <v>143</v>
      </c>
      <c r="F12" s="73" t="s">
        <v>144</v>
      </c>
    </row>
    <row r="13" customFormat="false" ht="25.5" hidden="false" customHeight="true" outlineLevel="0" collapsed="false">
      <c r="A13" s="65" t="s">
        <v>145</v>
      </c>
      <c r="B13" s="43" t="n">
        <v>500</v>
      </c>
      <c r="C13" s="42" t="n">
        <v>26</v>
      </c>
      <c r="D13" s="74" t="n">
        <f aca="false">IF(B13&gt;0,C13/B13,0)</f>
        <v>0.052</v>
      </c>
      <c r="E13" s="40" t="s">
        <v>146</v>
      </c>
      <c r="F13" s="75" t="s">
        <v>147</v>
      </c>
    </row>
    <row r="14" customFormat="false" ht="25.5" hidden="false" customHeight="true" outlineLevel="0" collapsed="false">
      <c r="A14" s="65" t="s">
        <v>148</v>
      </c>
      <c r="B14" s="43" t="n">
        <v>500</v>
      </c>
      <c r="C14" s="42" t="n">
        <v>6</v>
      </c>
      <c r="D14" s="74" t="n">
        <f aca="false">IF(B14&gt;0,C14/B14,0)</f>
        <v>0.012</v>
      </c>
      <c r="E14" s="40" t="s">
        <v>146</v>
      </c>
      <c r="F14" s="75" t="s">
        <v>147</v>
      </c>
    </row>
    <row r="15" customFormat="false" ht="15" hidden="false" customHeight="false" outlineLevel="0" collapsed="false">
      <c r="A15" s="70" t="s">
        <v>149</v>
      </c>
      <c r="B15" s="69"/>
      <c r="C15" s="69"/>
      <c r="D15" s="76" t="n">
        <f aca="false">D13+D14</f>
        <v>0.064</v>
      </c>
      <c r="E15" s="69"/>
      <c r="F15" s="69"/>
    </row>
    <row r="16" customFormat="false" ht="15" hidden="false" customHeight="false" outlineLevel="0" collapsed="false">
      <c r="A16" s="69"/>
      <c r="B16" s="69"/>
      <c r="C16" s="69"/>
      <c r="D16" s="69"/>
      <c r="E16" s="69"/>
      <c r="F16" s="69"/>
    </row>
    <row r="17" customFormat="false" ht="15" hidden="false" customHeight="false" outlineLevel="0" collapsed="false">
      <c r="A17" s="71" t="s">
        <v>150</v>
      </c>
      <c r="B17" s="72"/>
      <c r="C17" s="72"/>
      <c r="D17" s="72"/>
      <c r="E17" s="72"/>
      <c r="F17" s="72"/>
    </row>
    <row r="18" customFormat="false" ht="39.75" hidden="false" customHeight="true" outlineLevel="0" collapsed="false">
      <c r="A18" s="65" t="s">
        <v>151</v>
      </c>
      <c r="B18" s="42" t="n">
        <v>0.78</v>
      </c>
      <c r="C18" s="69"/>
      <c r="D18" s="69"/>
      <c r="E18" s="69"/>
      <c r="F18" s="75" t="s">
        <v>152</v>
      </c>
    </row>
  </sheetData>
  <dataValidations count="1">
    <dataValidation allowBlank="false" error="Pick Annual or One-off." errorStyle="stop" operator="between" showDropDown="false" showErrorMessage="true" showInputMessage="false" sqref="B9" type="list">
      <formula1>"Annual,One-off"</formula1>
      <formula2>0</formula2>
    </dataValidation>
  </dataValidations>
  <printOptions headings="false" gridLines="false" gridLinesSet="true" horizontalCentered="false" verticalCentered="false"/>
  <pageMargins left="0.5" right="0.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2026-10-18T03:13:29Z</dcterms:created>
  <dc:creator>openpyxl</dc:creator>
  <dc:description/>
  <dc:language>en-US</dc:language>
  <cp:lastModifiedBy/>
  <dcterms:modified xsi:type="dcterms:W3CDTF">2026-10-18T03:13:31Z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